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TERMOFICARE Fondul de modernizare\SUCEAVA\LUCRU\PREDARE 25.01.2024\"/>
    </mc:Choice>
  </mc:AlternateContent>
  <xr:revisionPtr revIDLastSave="0" documentId="13_ncr:1_{8EC6ACD4-914A-4490-94A5-C1D234B501E3}" xr6:coauthVersionLast="47" xr6:coauthVersionMax="47" xr10:uidLastSave="{00000000-0000-0000-0000-000000000000}"/>
  <bookViews>
    <workbookView xWindow="-120" yWindow="-120" windowWidth="29040" windowHeight="15720" tabRatio="783" activeTab="14" xr2:uid="{38CC2CED-4429-4504-850A-0D821A80B777}"/>
  </bookViews>
  <sheets>
    <sheet name="1.Input" sheetId="1" r:id="rId1"/>
    <sheet name="Liste" sheetId="12" state="hidden" r:id="rId2"/>
    <sheet name="2.BilantNOPRO" sheetId="14" r:id="rId3"/>
    <sheet name="3.BilantPRO" sheetId="16" r:id="rId4"/>
    <sheet name="DG TOTAL" sheetId="17" state="hidden" r:id="rId5"/>
    <sheet name="DG ETAPA I" sheetId="23" state="hidden" r:id="rId6"/>
    <sheet name="4.Investitie" sheetId="4" r:id="rId7"/>
    <sheet name="5.O&amp;M" sheetId="5" r:id="rId8"/>
    <sheet name="6.Venituri" sheetId="6" r:id="rId9"/>
    <sheet name="7.Beneficii economice" sheetId="18" r:id="rId10"/>
    <sheet name="8.IRR+FG" sheetId="8" r:id="rId11"/>
    <sheet name="9.Surse de finantare" sheetId="9" r:id="rId12"/>
    <sheet name="10.Sensitivitate" sheetId="19" r:id="rId13"/>
    <sheet name="11.Cererea de finantare" sheetId="11" r:id="rId14"/>
    <sheet name="12. Plan tarifar" sheetId="20" r:id="rId15"/>
    <sheet name="Tabele ACB" sheetId="21" state="hidden" r:id="rId16"/>
    <sheet name="Foaie2" sheetId="2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hidden="1">[1]AMGA!$N$8:$N$26</definedName>
    <definedName name="__123Graph_AAGO" hidden="1">[1]AMGA!$J$8:$J$26</definedName>
    <definedName name="__123Graph_AAPR" hidden="1">[1]AMGA!$F$8:$F$26</definedName>
    <definedName name="__123Graph_ADIC" hidden="1">[1]AMGA!$N$8:$N$26</definedName>
    <definedName name="__123Graph_AFEB" hidden="1">[1]AMGA!$D$8:$D$26</definedName>
    <definedName name="__123Graph_AGEN" hidden="1">[1]AMGA!$C$8:$C$26</definedName>
    <definedName name="__123Graph_AGIU" hidden="1">[1]AMGA!$H$8:$H$26</definedName>
    <definedName name="__123Graph_ALUG" hidden="1">[1]AMGA!$I$8:$I$26</definedName>
    <definedName name="__123Graph_AMAG" hidden="1">[1]AMGA!$G$8:$G$26</definedName>
    <definedName name="__123Graph_AMAR" hidden="1">[1]AMGA!$E$8:$E$26</definedName>
    <definedName name="__123Graph_ANOV" hidden="1">[1]AMGA!$M$8:$M$26</definedName>
    <definedName name="__123Graph_AOTT" hidden="1">[1]AMGA!$L$8:$L$26</definedName>
    <definedName name="__123Graph_ASET" hidden="1">[1]AMGA!$K$8:$K$26</definedName>
    <definedName name="__123Graph_ATOALE" hidden="1">[1]AMGA!$O$8:$O$26</definedName>
    <definedName name="__123Graph_X" hidden="1">[1]AMGA!$B$8:$B$26</definedName>
    <definedName name="__123Graph_XAGO" hidden="1">[1]AMGA!$B$8:$B$26</definedName>
    <definedName name="__123Graph_XAPR" hidden="1">[1]AMGA!$B$8:$B$26</definedName>
    <definedName name="__123Graph_XDIC" hidden="1">[1]AMGA!$B$8:$B$26</definedName>
    <definedName name="__123Graph_XFEB" hidden="1">[1]AMGA!$B$8:$B$26</definedName>
    <definedName name="__123Graph_XGEN" hidden="1">[1]AMGA!$B$8:$B$26</definedName>
    <definedName name="__123Graph_XGIU" hidden="1">[1]AMGA!$B$8:$B$26</definedName>
    <definedName name="__123Graph_XLUG" hidden="1">[1]AMGA!$B$8:$B$26</definedName>
    <definedName name="__123Graph_XMAG" hidden="1">[1]AMGA!$B$8:$B$26</definedName>
    <definedName name="__123Graph_XMAR" hidden="1">[1]AMGA!$B$8:$B$26</definedName>
    <definedName name="__123Graph_XNOV" hidden="1">[1]AMGA!$B$8:$B$26</definedName>
    <definedName name="__123Graph_XOTT" hidden="1">[1]AMGA!$B$8:$B$26</definedName>
    <definedName name="__123Graph_XSET" hidden="1">[1]AMGA!$B$8:$B$26</definedName>
    <definedName name="__123Graph_XTOALE" hidden="1">[1]AMGA!$B$8:$B$26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_Order1" hidden="1">255</definedName>
    <definedName name="AccessDatabase" hidden="1">"C:\INVEST\FOGLI\Inflazione.mdb"</definedName>
    <definedName name="Auto_öppna_xlquery_DClick" hidden="1">[2]!Register.DClick</definedName>
    <definedName name="BS" localSheetId="6">'4.Investitie'!$I$15</definedName>
    <definedName name="BS" localSheetId="7">'5.O&amp;M'!$I$19</definedName>
    <definedName name="BS" localSheetId="8">'6.Venituri'!#REF!</definedName>
    <definedName name="BS" localSheetId="9">'7.Beneficii economice'!#REF!</definedName>
    <definedName name="BS" localSheetId="10">'8.IRR+FG'!$I$12</definedName>
    <definedName name="BS">'1.Input'!$I$16</definedName>
    <definedName name="COF">'1.Input'!$I$15</definedName>
    <definedName name="contr">'[3]Sub Func.'!$I$6:$K$298</definedName>
    <definedName name="control">'[3]Sub Func.'!$H$5:$K$411</definedName>
    <definedName name="Currency">[4]Inputs!$D$6</definedName>
    <definedName name="dumping">#REF!</definedName>
    <definedName name="eur" localSheetId="12">[5]Inputs!$D$11</definedName>
    <definedName name="eur" localSheetId="2">[6]DG!$D$2</definedName>
    <definedName name="eur" localSheetId="3">[6]DG!$D$2</definedName>
    <definedName name="eur" localSheetId="6">'4.Investitie'!$I$10</definedName>
    <definedName name="eur" localSheetId="7">'5.O&amp;M'!#REF!</definedName>
    <definedName name="eur" localSheetId="8">'6.Venituri'!#REF!</definedName>
    <definedName name="eur" localSheetId="9">'7.Beneficii economice'!#REF!</definedName>
    <definedName name="eur" localSheetId="10">'8.IRR+FG'!#REF!</definedName>
    <definedName name="eur">'1.Input'!#REF!</definedName>
    <definedName name="euro">'1.Input'!$I$27</definedName>
    <definedName name="FDR" localSheetId="6">'4.Investitie'!$I$12</definedName>
    <definedName name="FDR" localSheetId="7">'5.O&amp;M'!#REF!</definedName>
    <definedName name="FDR" localSheetId="8">'6.Venituri'!#REF!</definedName>
    <definedName name="FDR" localSheetId="9">'7.Beneficii economice'!#REF!</definedName>
    <definedName name="FDR" localSheetId="10">'8.IRR+FG'!#REF!</definedName>
    <definedName name="FDR">'1.Input'!#REF!</definedName>
    <definedName name="funk">'[3]Sub Func.'!$J$1:$K$5</definedName>
    <definedName name="GRD">[7]Inputs!$E$15</definedName>
    <definedName name="_xlnm.Print_Titles" localSheetId="5">'DG ETAPA I'!$2:$5</definedName>
    <definedName name="infl" localSheetId="2">[6]DG!$D$4</definedName>
    <definedName name="infl" localSheetId="3">[6]DG!$D$4</definedName>
    <definedName name="infl">'1.Input'!$K$90</definedName>
    <definedName name="investRL">'[3]Investment analysis'!$A$5:$D$74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41970.772337963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">'1.Input'!$I$25</definedName>
    <definedName name="NF" localSheetId="6">'4.Investitie'!#REF!</definedName>
    <definedName name="NF" localSheetId="7">'5.O&amp;M'!#REF!</definedName>
    <definedName name="NF" localSheetId="8">'6.Venituri'!#REF!</definedName>
    <definedName name="NF" localSheetId="9">'7.Beneficii economice'!#REF!</definedName>
    <definedName name="NF" localSheetId="10">'8.IRR+FG'!#REF!</definedName>
    <definedName name="NF">'1.Input'!#REF!</definedName>
    <definedName name="P">'1.Input'!#REF!</definedName>
    <definedName name="Print_Area" localSheetId="13">'11.Cererea de finantare'!$B$5:$I$86</definedName>
    <definedName name="QUERY1.keep_password" hidden="1">TRUE</definedName>
    <definedName name="QUERY1.user_name" hidden="1">"admin"</definedName>
    <definedName name="RAF">'1.Input'!$I$10</definedName>
    <definedName name="RAS">'1.Input'!$I$11</definedName>
    <definedName name="rata">'1.Input'!#REF!</definedName>
    <definedName name="rataact">'1.Input'!#REF!</definedName>
    <definedName name="rca">'6.Venituri'!$P$36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[3]BASICS!$A$2:$B$22</definedName>
    <definedName name="SAPBEXrevision" hidden="1">1</definedName>
    <definedName name="SAPBEXsysID" hidden="1">"LP2"</definedName>
    <definedName name="SAPBEXwbID" hidden="1">"9CQV126JBLHI5EJBDZLLKKVOO"</definedName>
    <definedName name="SensCapex">'[8]Sensitivity and Risk'!$E$6</definedName>
    <definedName name="SensExpenses">'[8]Sensitivity and Risk'!$E$10</definedName>
    <definedName name="SensInflation">'[8]Sensitivity and Risk'!$E$9</definedName>
    <definedName name="SensPrices">'[8]Sensitivity and Risk'!$E$8</definedName>
    <definedName name="SensVolume">'[8]Sensitivity and Risk'!$E$7</definedName>
    <definedName name="TVA" localSheetId="12">'[7]Gantt, Plan de finantare'!$E$101</definedName>
    <definedName name="tva" localSheetId="2">[6]DG!$D$3</definedName>
    <definedName name="tva" localSheetId="3">[6]DG!$D$3</definedName>
    <definedName name="TVA">'1.Input'!$I$22</definedName>
    <definedName name="tvat">'1.Input'!$I$23</definedName>
    <definedName name="UE" localSheetId="6">'4.Investitie'!$I$14</definedName>
    <definedName name="UE" localSheetId="7">'5.O&amp;M'!$I$14</definedName>
    <definedName name="UE" localSheetId="8">'6.Venituri'!#REF!</definedName>
    <definedName name="UE" localSheetId="9">'7.Beneficii economice'!$I$14</definedName>
    <definedName name="UE" localSheetId="10">'8.IRR+FG'!$I$11</definedName>
    <definedName name="UE">'1.Input'!$I$15</definedName>
    <definedName name="unitcrn">'[3]UNIT CRNs'!$B$3:$IV$65536</definedName>
    <definedName name="usagepenalty">'[3]Sub Load Levels'!$D$8:$E$542</definedName>
    <definedName name="Valuationyear">[3]BASICS!$B$25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" i="16" l="1"/>
  <c r="Q52" i="8" l="1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P52" i="8"/>
  <c r="B52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P51" i="8"/>
  <c r="D7" i="20" a="1"/>
  <c r="D7" i="20" s="1"/>
  <c r="E208" i="21" a="1"/>
  <c r="E208" i="21" s="1"/>
  <c r="D208" i="21" a="1"/>
  <c r="D208" i="21" s="1"/>
  <c r="C237" i="21"/>
  <c r="C210" i="2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09" i="21"/>
  <c r="C208" i="21"/>
  <c r="F175" i="21" a="1"/>
  <c r="F175" i="21" s="1"/>
  <c r="E175" i="21" a="1"/>
  <c r="E176" i="21" s="1"/>
  <c r="D175" i="21" a="1"/>
  <c r="D175" i="21" s="1"/>
  <c r="D34" i="20" l="1"/>
  <c r="D30" i="20"/>
  <c r="D26" i="20"/>
  <c r="D22" i="20"/>
  <c r="D18" i="20"/>
  <c r="D14" i="20"/>
  <c r="D10" i="20"/>
  <c r="D33" i="20"/>
  <c r="D29" i="20"/>
  <c r="D25" i="20"/>
  <c r="D21" i="20"/>
  <c r="D17" i="20"/>
  <c r="D13" i="20"/>
  <c r="D9" i="20"/>
  <c r="D36" i="20"/>
  <c r="D32" i="20"/>
  <c r="D28" i="20"/>
  <c r="D24" i="20"/>
  <c r="D20" i="20"/>
  <c r="D16" i="20"/>
  <c r="D12" i="20"/>
  <c r="D8" i="20"/>
  <c r="D35" i="20"/>
  <c r="D31" i="20"/>
  <c r="D27" i="20"/>
  <c r="D23" i="20"/>
  <c r="D19" i="20"/>
  <c r="D15" i="20"/>
  <c r="D11" i="20"/>
  <c r="E235" i="21"/>
  <c r="H235" i="21" s="1"/>
  <c r="E231" i="21"/>
  <c r="H231" i="21" s="1"/>
  <c r="E227" i="21"/>
  <c r="H227" i="21" s="1"/>
  <c r="E223" i="21"/>
  <c r="E219" i="21"/>
  <c r="E215" i="21"/>
  <c r="E211" i="21"/>
  <c r="E234" i="21"/>
  <c r="H234" i="21" s="1"/>
  <c r="E230" i="21"/>
  <c r="H230" i="21" s="1"/>
  <c r="E226" i="21"/>
  <c r="E222" i="21"/>
  <c r="E218" i="21"/>
  <c r="E214" i="21"/>
  <c r="E210" i="21"/>
  <c r="E237" i="21"/>
  <c r="H237" i="21" s="1"/>
  <c r="E233" i="21"/>
  <c r="H233" i="21" s="1"/>
  <c r="E229" i="21"/>
  <c r="H229" i="21" s="1"/>
  <c r="E225" i="21"/>
  <c r="E221" i="21"/>
  <c r="E217" i="21"/>
  <c r="E213" i="21"/>
  <c r="E209" i="21"/>
  <c r="E236" i="21"/>
  <c r="H236" i="21" s="1"/>
  <c r="E232" i="21"/>
  <c r="H232" i="21" s="1"/>
  <c r="E228" i="21"/>
  <c r="H228" i="21" s="1"/>
  <c r="E224" i="21"/>
  <c r="E220" i="21"/>
  <c r="E216" i="21"/>
  <c r="E212" i="21"/>
  <c r="D227" i="21"/>
  <c r="D219" i="21"/>
  <c r="D234" i="21"/>
  <c r="F234" i="21" s="1"/>
  <c r="D230" i="21"/>
  <c r="F230" i="21" s="1"/>
  <c r="D226" i="21"/>
  <c r="D222" i="21"/>
  <c r="D218" i="21"/>
  <c r="D214" i="21"/>
  <c r="D210" i="21"/>
  <c r="D231" i="21"/>
  <c r="F231" i="21" s="1"/>
  <c r="D215" i="21"/>
  <c r="D237" i="21"/>
  <c r="D233" i="21"/>
  <c r="F233" i="21" s="1"/>
  <c r="D229" i="21"/>
  <c r="F229" i="21" s="1"/>
  <c r="D225" i="21"/>
  <c r="D221" i="21"/>
  <c r="D217" i="21"/>
  <c r="D213" i="21"/>
  <c r="D209" i="21"/>
  <c r="D235" i="21"/>
  <c r="F235" i="21" s="1"/>
  <c r="D223" i="21"/>
  <c r="D211" i="21"/>
  <c r="D236" i="21"/>
  <c r="D232" i="21"/>
  <c r="F232" i="21" s="1"/>
  <c r="D228" i="21"/>
  <c r="F228" i="21" s="1"/>
  <c r="D224" i="21"/>
  <c r="D220" i="21"/>
  <c r="D216" i="21"/>
  <c r="D212" i="21"/>
  <c r="F202" i="21"/>
  <c r="F198" i="21"/>
  <c r="F194" i="21"/>
  <c r="F190" i="21"/>
  <c r="F186" i="21"/>
  <c r="F182" i="21"/>
  <c r="F178" i="21"/>
  <c r="F201" i="21"/>
  <c r="F193" i="21"/>
  <c r="F185" i="21"/>
  <c r="F177" i="21"/>
  <c r="F204" i="21"/>
  <c r="F200" i="21"/>
  <c r="F196" i="21"/>
  <c r="F192" i="21"/>
  <c r="F188" i="21"/>
  <c r="F184" i="21"/>
  <c r="F180" i="21"/>
  <c r="F176" i="21"/>
  <c r="F197" i="21"/>
  <c r="F189" i="21"/>
  <c r="F181" i="21"/>
  <c r="F203" i="21"/>
  <c r="F199" i="21"/>
  <c r="F195" i="21"/>
  <c r="F191" i="21"/>
  <c r="F187" i="21"/>
  <c r="F183" i="21"/>
  <c r="F179" i="21"/>
  <c r="E203" i="21"/>
  <c r="E195" i="21"/>
  <c r="E191" i="21"/>
  <c r="E183" i="21"/>
  <c r="E175" i="21"/>
  <c r="E202" i="21"/>
  <c r="E194" i="21"/>
  <c r="E190" i="21"/>
  <c r="E186" i="21"/>
  <c r="E182" i="21"/>
  <c r="E178" i="21"/>
  <c r="E201" i="21"/>
  <c r="E197" i="21"/>
  <c r="E193" i="21"/>
  <c r="E189" i="21"/>
  <c r="E185" i="21"/>
  <c r="E181" i="21"/>
  <c r="E177" i="21"/>
  <c r="E199" i="21"/>
  <c r="E187" i="21"/>
  <c r="E179" i="21"/>
  <c r="E198" i="21"/>
  <c r="E204" i="21"/>
  <c r="E200" i="21"/>
  <c r="E196" i="21"/>
  <c r="E192" i="21"/>
  <c r="E188" i="21"/>
  <c r="E184" i="21"/>
  <c r="E180" i="21"/>
  <c r="D202" i="21"/>
  <c r="D194" i="21"/>
  <c r="D182" i="21"/>
  <c r="D201" i="21"/>
  <c r="D197" i="21"/>
  <c r="D193" i="21"/>
  <c r="D189" i="21"/>
  <c r="D185" i="21"/>
  <c r="D181" i="21"/>
  <c r="D177" i="21"/>
  <c r="D198" i="21"/>
  <c r="D190" i="21"/>
  <c r="D178" i="21"/>
  <c r="D204" i="21"/>
  <c r="D200" i="21"/>
  <c r="D196" i="21"/>
  <c r="D192" i="21"/>
  <c r="D188" i="21"/>
  <c r="D184" i="21"/>
  <c r="D180" i="21"/>
  <c r="D176" i="21"/>
  <c r="D186" i="21"/>
  <c r="D203" i="21"/>
  <c r="D199" i="21"/>
  <c r="D195" i="21"/>
  <c r="D191" i="21"/>
  <c r="D187" i="21"/>
  <c r="D183" i="21"/>
  <c r="D179" i="21"/>
  <c r="G104" i="21" a="1"/>
  <c r="G104" i="21" s="1"/>
  <c r="F104" i="21" a="1"/>
  <c r="F105" i="21" s="1"/>
  <c r="E104" i="21" a="1"/>
  <c r="E106" i="21" s="1"/>
  <c r="D105" i="21"/>
  <c r="D106" i="21" s="1"/>
  <c r="D107" i="21" s="1"/>
  <c r="D108" i="21" s="1"/>
  <c r="D109" i="21" s="1"/>
  <c r="D110" i="21" s="1"/>
  <c r="D111" i="21" s="1"/>
  <c r="D112" i="21" s="1"/>
  <c r="D113" i="21" s="1"/>
  <c r="D114" i="21" s="1"/>
  <c r="D115" i="21" s="1"/>
  <c r="D116" i="21" s="1"/>
  <c r="D117" i="21" s="1"/>
  <c r="D118" i="21" s="1"/>
  <c r="D119" i="21" s="1"/>
  <c r="D120" i="21" s="1"/>
  <c r="D121" i="21" s="1"/>
  <c r="D122" i="21" s="1"/>
  <c r="D123" i="21" s="1"/>
  <c r="D124" i="21" s="1"/>
  <c r="D125" i="21" s="1"/>
  <c r="D126" i="21" s="1"/>
  <c r="D127" i="21" s="1"/>
  <c r="D128" i="21" s="1"/>
  <c r="D129" i="21" s="1"/>
  <c r="D130" i="21" s="1"/>
  <c r="D131" i="21" s="1"/>
  <c r="D132" i="21" s="1"/>
  <c r="D133" i="21" s="1"/>
  <c r="D134" i="21" s="1"/>
  <c r="D135" i="21" s="1"/>
  <c r="E71" i="21" a="1"/>
  <c r="E71" i="21" s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O90" i="1"/>
  <c r="F227" i="21" l="1"/>
  <c r="F237" i="21"/>
  <c r="F236" i="21"/>
  <c r="E133" i="21"/>
  <c r="G134" i="21"/>
  <c r="G130" i="21"/>
  <c r="G126" i="21"/>
  <c r="G122" i="21"/>
  <c r="G118" i="21"/>
  <c r="G114" i="21"/>
  <c r="G110" i="21"/>
  <c r="G106" i="21"/>
  <c r="G135" i="21"/>
  <c r="G131" i="21"/>
  <c r="G127" i="21"/>
  <c r="G123" i="21"/>
  <c r="G119" i="21"/>
  <c r="G115" i="21"/>
  <c r="G111" i="21"/>
  <c r="G107" i="21"/>
  <c r="G133" i="21"/>
  <c r="G129" i="21"/>
  <c r="G125" i="21"/>
  <c r="G121" i="21"/>
  <c r="G117" i="21"/>
  <c r="G113" i="21"/>
  <c r="G109" i="21"/>
  <c r="G105" i="21"/>
  <c r="G132" i="21"/>
  <c r="G128" i="21"/>
  <c r="G124" i="21"/>
  <c r="G120" i="21"/>
  <c r="G116" i="21"/>
  <c r="G112" i="21"/>
  <c r="G108" i="21"/>
  <c r="F128" i="21"/>
  <c r="F120" i="21"/>
  <c r="F112" i="21"/>
  <c r="F108" i="21"/>
  <c r="F131" i="21"/>
  <c r="F123" i="21"/>
  <c r="F115" i="21"/>
  <c r="F107" i="21"/>
  <c r="F134" i="21"/>
  <c r="F130" i="21"/>
  <c r="F126" i="21"/>
  <c r="F122" i="21"/>
  <c r="F118" i="21"/>
  <c r="F114" i="21"/>
  <c r="F110" i="21"/>
  <c r="F106" i="21"/>
  <c r="F132" i="21"/>
  <c r="F124" i="21"/>
  <c r="F116" i="21"/>
  <c r="F104" i="21"/>
  <c r="F135" i="21"/>
  <c r="F127" i="21"/>
  <c r="F119" i="21"/>
  <c r="F111" i="21"/>
  <c r="F133" i="21"/>
  <c r="F129" i="21"/>
  <c r="F125" i="21"/>
  <c r="F121" i="21"/>
  <c r="F117" i="21"/>
  <c r="F113" i="21"/>
  <c r="F109" i="21"/>
  <c r="E129" i="21"/>
  <c r="E125" i="21"/>
  <c r="E121" i="21"/>
  <c r="E117" i="21"/>
  <c r="E113" i="21"/>
  <c r="E109" i="21"/>
  <c r="E105" i="21"/>
  <c r="E132" i="21"/>
  <c r="E128" i="21"/>
  <c r="E124" i="21"/>
  <c r="E120" i="21"/>
  <c r="E116" i="21"/>
  <c r="E112" i="21"/>
  <c r="E108" i="21"/>
  <c r="E104" i="21"/>
  <c r="E135" i="21"/>
  <c r="E131" i="21"/>
  <c r="E127" i="21"/>
  <c r="E123" i="21"/>
  <c r="E119" i="21"/>
  <c r="E115" i="21"/>
  <c r="E111" i="21"/>
  <c r="E107" i="21"/>
  <c r="E134" i="21"/>
  <c r="E130" i="21"/>
  <c r="E126" i="21"/>
  <c r="E122" i="21"/>
  <c r="E118" i="21"/>
  <c r="E114" i="21"/>
  <c r="E110" i="21"/>
  <c r="E97" i="21"/>
  <c r="E93" i="21"/>
  <c r="E89" i="21"/>
  <c r="E85" i="21"/>
  <c r="E81" i="21"/>
  <c r="E77" i="21"/>
  <c r="E73" i="21"/>
  <c r="E98" i="21"/>
  <c r="E94" i="21"/>
  <c r="E90" i="21"/>
  <c r="E86" i="21"/>
  <c r="E82" i="21"/>
  <c r="E78" i="21"/>
  <c r="E74" i="21"/>
  <c r="E100" i="21"/>
  <c r="E96" i="21"/>
  <c r="E92" i="21"/>
  <c r="E88" i="21"/>
  <c r="E84" i="21"/>
  <c r="E80" i="21"/>
  <c r="E76" i="21"/>
  <c r="E72" i="21"/>
  <c r="E99" i="21"/>
  <c r="E95" i="21"/>
  <c r="E91" i="21"/>
  <c r="E87" i="21"/>
  <c r="E83" i="21"/>
  <c r="E79" i="21"/>
  <c r="E75" i="21"/>
  <c r="AE69" i="1" l="1"/>
  <c r="AF69" i="1"/>
  <c r="AG69" i="1" s="1"/>
  <c r="AH69" i="1" s="1"/>
  <c r="AI69" i="1" s="1"/>
  <c r="AJ69" i="1" s="1"/>
  <c r="AK69" i="1" s="1"/>
  <c r="B38" i="21"/>
  <c r="N3" i="21" a="1"/>
  <c r="N3" i="21" s="1"/>
  <c r="C35" i="11"/>
  <c r="B61" i="1"/>
  <c r="G37" i="21" l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C71" i="21"/>
  <c r="C140" i="21" s="1"/>
  <c r="L37" i="2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L57" i="21" s="1"/>
  <c r="L58" i="21" s="1"/>
  <c r="L59" i="21" s="1"/>
  <c r="L60" i="21" s="1"/>
  <c r="L61" i="21" s="1"/>
  <c r="L62" i="21" s="1"/>
  <c r="L63" i="21" s="1"/>
  <c r="L64" i="21" s="1"/>
  <c r="L65" i="21" s="1"/>
  <c r="L66" i="21" s="1"/>
  <c r="N22" i="21"/>
  <c r="N56" i="21" s="1"/>
  <c r="N6" i="21"/>
  <c r="N29" i="21"/>
  <c r="N63" i="21" s="1"/>
  <c r="N25" i="21"/>
  <c r="N59" i="21" s="1"/>
  <c r="N21" i="21"/>
  <c r="N17" i="21"/>
  <c r="N13" i="21"/>
  <c r="N9" i="21"/>
  <c r="N5" i="21"/>
  <c r="N30" i="21"/>
  <c r="N64" i="21" s="1"/>
  <c r="N18" i="21"/>
  <c r="N10" i="21"/>
  <c r="N32" i="21"/>
  <c r="N66" i="21" s="1"/>
  <c r="N28" i="21"/>
  <c r="N62" i="21" s="1"/>
  <c r="N24" i="21"/>
  <c r="N58" i="21" s="1"/>
  <c r="N20" i="21"/>
  <c r="N16" i="21"/>
  <c r="N12" i="21"/>
  <c r="N8" i="21"/>
  <c r="N4" i="21"/>
  <c r="N26" i="21"/>
  <c r="N60" i="21" s="1"/>
  <c r="N14" i="21"/>
  <c r="N31" i="21"/>
  <c r="N65" i="21" s="1"/>
  <c r="N27" i="21"/>
  <c r="N61" i="21" s="1"/>
  <c r="N23" i="21"/>
  <c r="N57" i="21" s="1"/>
  <c r="N19" i="21"/>
  <c r="N15" i="21"/>
  <c r="N11" i="21"/>
  <c r="N7" i="21"/>
  <c r="C141" i="21" l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5" i="21"/>
  <c r="C176" i="21" s="1"/>
  <c r="C177" i="21" s="1"/>
  <c r="C178" i="21" s="1"/>
  <c r="C179" i="21" s="1"/>
  <c r="C180" i="21" s="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B18" i="18"/>
  <c r="B5" i="21"/>
  <c r="G3" i="21"/>
  <c r="L3" i="21" s="1"/>
  <c r="L4" i="21" s="1"/>
  <c r="L5" i="21" s="1"/>
  <c r="L6" i="21" s="1"/>
  <c r="L7" i="21" s="1"/>
  <c r="L8" i="21" s="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B6" i="21" l="1"/>
  <c r="B39" i="21"/>
  <c r="C72" i="21" s="1"/>
  <c r="G4" i="21"/>
  <c r="G5" i="21" s="1"/>
  <c r="G6" i="21" s="1"/>
  <c r="G7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B7" i="21" l="1"/>
  <c r="B40" i="21"/>
  <c r="C73" i="21" s="1"/>
  <c r="B8" i="21" l="1"/>
  <c r="B41" i="21"/>
  <c r="C74" i="21" s="1"/>
  <c r="B9" i="21" l="1"/>
  <c r="B42" i="21"/>
  <c r="C75" i="21" s="1"/>
  <c r="B10" i="21" l="1"/>
  <c r="B43" i="21"/>
  <c r="C76" i="21" s="1"/>
  <c r="B11" i="21" l="1"/>
  <c r="B44" i="21"/>
  <c r="C77" i="21" s="1"/>
  <c r="B12" i="21" l="1"/>
  <c r="B45" i="21"/>
  <c r="C78" i="21" s="1"/>
  <c r="B13" i="21" l="1"/>
  <c r="B46" i="21"/>
  <c r="C79" i="21" s="1"/>
  <c r="B14" i="21" l="1"/>
  <c r="B47" i="21"/>
  <c r="C80" i="21" s="1"/>
  <c r="B15" i="21" l="1"/>
  <c r="B48" i="21"/>
  <c r="C81" i="21" s="1"/>
  <c r="B16" i="21" l="1"/>
  <c r="B49" i="21"/>
  <c r="C82" i="21" s="1"/>
  <c r="B17" i="21" l="1"/>
  <c r="B50" i="21"/>
  <c r="C83" i="21" s="1"/>
  <c r="B18" i="21" l="1"/>
  <c r="B51" i="21"/>
  <c r="C84" i="21" s="1"/>
  <c r="B19" i="21" l="1"/>
  <c r="B52" i="21"/>
  <c r="C85" i="21" s="1"/>
  <c r="B20" i="21" l="1"/>
  <c r="B53" i="21"/>
  <c r="C86" i="21" s="1"/>
  <c r="B21" i="21" l="1"/>
  <c r="B54" i="21"/>
  <c r="C87" i="21" s="1"/>
  <c r="B22" i="21" l="1"/>
  <c r="B55" i="21"/>
  <c r="C88" i="21" s="1"/>
  <c r="B23" i="21" l="1"/>
  <c r="B56" i="21"/>
  <c r="C89" i="21" s="1"/>
  <c r="B24" i="21" l="1"/>
  <c r="B57" i="21"/>
  <c r="C90" i="21" s="1"/>
  <c r="B25" i="21" l="1"/>
  <c r="B58" i="21"/>
  <c r="C91" i="21" s="1"/>
  <c r="B26" i="21" l="1"/>
  <c r="B59" i="21"/>
  <c r="C92" i="21" s="1"/>
  <c r="B27" i="21" l="1"/>
  <c r="B60" i="21"/>
  <c r="C93" i="21" s="1"/>
  <c r="B28" i="21" l="1"/>
  <c r="B61" i="21"/>
  <c r="C94" i="21" s="1"/>
  <c r="B29" i="21" l="1"/>
  <c r="B62" i="21"/>
  <c r="C95" i="21" s="1"/>
  <c r="B30" i="21" l="1"/>
  <c r="B63" i="21"/>
  <c r="C96" i="21" s="1"/>
  <c r="B31" i="21" l="1"/>
  <c r="B64" i="21"/>
  <c r="C97" i="21" s="1"/>
  <c r="B32" i="21" l="1"/>
  <c r="B65" i="21"/>
  <c r="C98" i="21" s="1"/>
  <c r="B33" i="21" l="1"/>
  <c r="B67" i="21" s="1"/>
  <c r="C100" i="21" s="1"/>
  <c r="B66" i="21"/>
  <c r="C99" i="21" s="1"/>
  <c r="Q17" i="4" l="1"/>
  <c r="P17" i="4"/>
  <c r="O17" i="4"/>
  <c r="W17" i="4"/>
  <c r="V17" i="4"/>
  <c r="U17" i="4"/>
  <c r="I23" i="4" l="1"/>
  <c r="K12" i="8"/>
  <c r="AK76" i="8"/>
  <c r="AL76" i="8"/>
  <c r="AM76" i="8"/>
  <c r="AN76" i="8"/>
  <c r="AO76" i="8"/>
  <c r="AP76" i="8"/>
  <c r="AQ76" i="8"/>
  <c r="AR76" i="8"/>
  <c r="AS76" i="8"/>
  <c r="AT76" i="8"/>
  <c r="AK80" i="8"/>
  <c r="AL80" i="8"/>
  <c r="AM80" i="8"/>
  <c r="AN80" i="8"/>
  <c r="AO80" i="8"/>
  <c r="AP80" i="8"/>
  <c r="AQ80" i="8"/>
  <c r="AR80" i="8"/>
  <c r="AS80" i="8"/>
  <c r="AT80" i="8"/>
  <c r="AK81" i="8"/>
  <c r="AL81" i="8"/>
  <c r="AM81" i="8"/>
  <c r="AN81" i="8"/>
  <c r="AO81" i="8"/>
  <c r="AP81" i="8"/>
  <c r="AQ81" i="8"/>
  <c r="AR81" i="8"/>
  <c r="AS81" i="8"/>
  <c r="AT81" i="8"/>
  <c r="AK82" i="8"/>
  <c r="AL82" i="8"/>
  <c r="AM82" i="8"/>
  <c r="AN82" i="8"/>
  <c r="AO82" i="8"/>
  <c r="AP82" i="8"/>
  <c r="AQ82" i="8"/>
  <c r="AR82" i="8"/>
  <c r="AS82" i="8"/>
  <c r="AT82" i="8"/>
  <c r="AK83" i="8"/>
  <c r="AL83" i="8"/>
  <c r="AM83" i="8"/>
  <c r="AN83" i="8"/>
  <c r="AO83" i="8"/>
  <c r="AP83" i="8"/>
  <c r="AQ83" i="8"/>
  <c r="AR83" i="8"/>
  <c r="AS83" i="8"/>
  <c r="AT83" i="8"/>
  <c r="AO84" i="8"/>
  <c r="AR84" i="8"/>
  <c r="AK59" i="8"/>
  <c r="AL59" i="8"/>
  <c r="AM59" i="8"/>
  <c r="AN59" i="8"/>
  <c r="AO59" i="8"/>
  <c r="AP59" i="8"/>
  <c r="AQ59" i="8"/>
  <c r="AR59" i="8"/>
  <c r="AS59" i="8"/>
  <c r="AT59" i="8"/>
  <c r="AK31" i="8"/>
  <c r="AL31" i="8"/>
  <c r="AM31" i="8"/>
  <c r="AN31" i="8"/>
  <c r="AO31" i="8"/>
  <c r="AP31" i="8"/>
  <c r="AQ31" i="8"/>
  <c r="AR31" i="8"/>
  <c r="AS31" i="8"/>
  <c r="AT31" i="8"/>
  <c r="AK32" i="8"/>
  <c r="AL32" i="8"/>
  <c r="AM32" i="8"/>
  <c r="AN32" i="8"/>
  <c r="AO32" i="8"/>
  <c r="AP32" i="8"/>
  <c r="AQ32" i="8"/>
  <c r="AR32" i="8"/>
  <c r="AS32" i="8"/>
  <c r="AT32" i="8"/>
  <c r="AK35" i="8"/>
  <c r="AL35" i="8"/>
  <c r="AM35" i="8"/>
  <c r="AN35" i="8"/>
  <c r="AO35" i="8"/>
  <c r="AP35" i="8"/>
  <c r="AQ35" i="8"/>
  <c r="AR35" i="8"/>
  <c r="AS35" i="8"/>
  <c r="AT35" i="8"/>
  <c r="AJ102" i="5"/>
  <c r="AK102" i="5"/>
  <c r="AL102" i="5" s="1"/>
  <c r="AJ104" i="5"/>
  <c r="AK104" i="5"/>
  <c r="AL104" i="5" s="1"/>
  <c r="AM104" i="5" s="1"/>
  <c r="AN104" i="5" s="1"/>
  <c r="AO104" i="5" s="1"/>
  <c r="AP104" i="5" s="1"/>
  <c r="AQ104" i="5" s="1"/>
  <c r="AR104" i="5" s="1"/>
  <c r="AS104" i="5" s="1"/>
  <c r="AJ111" i="5"/>
  <c r="AK111" i="5"/>
  <c r="AL111" i="5"/>
  <c r="AM111" i="5"/>
  <c r="AN111" i="5"/>
  <c r="AO111" i="5"/>
  <c r="AP111" i="5"/>
  <c r="AQ111" i="5"/>
  <c r="AR111" i="5"/>
  <c r="AS111" i="5"/>
  <c r="AJ115" i="5"/>
  <c r="AK115" i="5"/>
  <c r="AL115" i="5"/>
  <c r="AM115" i="5"/>
  <c r="AN115" i="5"/>
  <c r="AO115" i="5"/>
  <c r="AP115" i="5"/>
  <c r="AQ115" i="5"/>
  <c r="AR115" i="5"/>
  <c r="AS115" i="5"/>
  <c r="AJ119" i="5"/>
  <c r="AK119" i="5"/>
  <c r="AL119" i="5" s="1"/>
  <c r="AM119" i="5" s="1"/>
  <c r="AN119" i="5" s="1"/>
  <c r="AO119" i="5" s="1"/>
  <c r="AP119" i="5" s="1"/>
  <c r="AQ119" i="5" s="1"/>
  <c r="AR119" i="5" s="1"/>
  <c r="AS119" i="5" s="1"/>
  <c r="AJ128" i="5"/>
  <c r="AK128" i="5"/>
  <c r="AL128" i="5" s="1"/>
  <c r="AJ134" i="5"/>
  <c r="AK134" i="5"/>
  <c r="AL134" i="5" s="1"/>
  <c r="AM134" i="5" s="1"/>
  <c r="AN134" i="5" s="1"/>
  <c r="AO134" i="5" s="1"/>
  <c r="AP134" i="5" s="1"/>
  <c r="AQ134" i="5" s="1"/>
  <c r="AR134" i="5" s="1"/>
  <c r="AS134" i="5" s="1"/>
  <c r="AJ136" i="5"/>
  <c r="AK136" i="5"/>
  <c r="AL136" i="5" s="1"/>
  <c r="AM136" i="5" s="1"/>
  <c r="AN136" i="5" s="1"/>
  <c r="AO136" i="5" s="1"/>
  <c r="AP136" i="5" s="1"/>
  <c r="AQ136" i="5" s="1"/>
  <c r="AR136" i="5" s="1"/>
  <c r="AS136" i="5" s="1"/>
  <c r="AJ138" i="5"/>
  <c r="AK138" i="5"/>
  <c r="AL138" i="5" s="1"/>
  <c r="AM138" i="5" s="1"/>
  <c r="AN138" i="5" s="1"/>
  <c r="AO138" i="5" s="1"/>
  <c r="AP138" i="5" s="1"/>
  <c r="AQ138" i="5" s="1"/>
  <c r="AR138" i="5" s="1"/>
  <c r="AS138" i="5" s="1"/>
  <c r="AJ136" i="6"/>
  <c r="AK136" i="6"/>
  <c r="AL136" i="6"/>
  <c r="AM136" i="6"/>
  <c r="AN136" i="6"/>
  <c r="AO136" i="6"/>
  <c r="AP136" i="6"/>
  <c r="AQ136" i="6"/>
  <c r="AR136" i="6"/>
  <c r="AS136" i="6"/>
  <c r="AJ81" i="6"/>
  <c r="AK81" i="6"/>
  <c r="AL81" i="6"/>
  <c r="AM81" i="6"/>
  <c r="AN81" i="6"/>
  <c r="AO81" i="6"/>
  <c r="AP81" i="6"/>
  <c r="AQ81" i="6"/>
  <c r="AR81" i="6"/>
  <c r="AS81" i="6"/>
  <c r="AJ86" i="6"/>
  <c r="AK86" i="6"/>
  <c r="AK87" i="6" s="1"/>
  <c r="AK125" i="6" s="1"/>
  <c r="AL86" i="6"/>
  <c r="AL87" i="6" s="1"/>
  <c r="AL125" i="6" s="1"/>
  <c r="AM86" i="6"/>
  <c r="AN86" i="6"/>
  <c r="AO86" i="6"/>
  <c r="AO87" i="6" s="1"/>
  <c r="AO125" i="6" s="1"/>
  <c r="AP86" i="6"/>
  <c r="AP87" i="6" s="1"/>
  <c r="AP125" i="6" s="1"/>
  <c r="AQ86" i="6"/>
  <c r="AR86" i="6"/>
  <c r="AS86" i="6"/>
  <c r="AS87" i="6" s="1"/>
  <c r="AS125" i="6" s="1"/>
  <c r="AJ87" i="6"/>
  <c r="AJ125" i="6" s="1"/>
  <c r="AM87" i="6"/>
  <c r="AM125" i="6" s="1"/>
  <c r="AN87" i="6"/>
  <c r="AN125" i="6" s="1"/>
  <c r="AQ87" i="6"/>
  <c r="AQ125" i="6" s="1"/>
  <c r="AR87" i="6"/>
  <c r="AR125" i="6" s="1"/>
  <c r="AJ92" i="6"/>
  <c r="AK92" i="6"/>
  <c r="AL92" i="6"/>
  <c r="AM92" i="6"/>
  <c r="AN92" i="6"/>
  <c r="AO92" i="6"/>
  <c r="AP92" i="6"/>
  <c r="AQ92" i="6"/>
  <c r="AR92" i="6"/>
  <c r="AS92" i="6"/>
  <c r="AJ69" i="6"/>
  <c r="AK69" i="6"/>
  <c r="AL69" i="6"/>
  <c r="AM69" i="6"/>
  <c r="AN69" i="6"/>
  <c r="AO69" i="6"/>
  <c r="AP69" i="6"/>
  <c r="AQ69" i="6"/>
  <c r="AR69" i="6"/>
  <c r="AS69" i="6"/>
  <c r="AR58" i="6"/>
  <c r="AJ14" i="6"/>
  <c r="AK14" i="6"/>
  <c r="AL14" i="6"/>
  <c r="AM14" i="6"/>
  <c r="AN14" i="6"/>
  <c r="AO14" i="6"/>
  <c r="AP14" i="6"/>
  <c r="AQ14" i="6"/>
  <c r="AR14" i="6"/>
  <c r="AS14" i="6"/>
  <c r="AJ19" i="6"/>
  <c r="AJ20" i="6" s="1"/>
  <c r="AJ58" i="6" s="1"/>
  <c r="AK19" i="6"/>
  <c r="AK20" i="6" s="1"/>
  <c r="AK58" i="6" s="1"/>
  <c r="AL19" i="6"/>
  <c r="AL20" i="6" s="1"/>
  <c r="AL58" i="6" s="1"/>
  <c r="AM19" i="6"/>
  <c r="AM20" i="6" s="1"/>
  <c r="AM58" i="6" s="1"/>
  <c r="AN19" i="6"/>
  <c r="AN20" i="6" s="1"/>
  <c r="AN58" i="6" s="1"/>
  <c r="AO19" i="6"/>
  <c r="AO20" i="6" s="1"/>
  <c r="AO58" i="6" s="1"/>
  <c r="AP19" i="6"/>
  <c r="AP20" i="6" s="1"/>
  <c r="AP58" i="6" s="1"/>
  <c r="AQ19" i="6"/>
  <c r="AR19" i="6"/>
  <c r="AR20" i="6" s="1"/>
  <c r="AS19" i="6"/>
  <c r="AS20" i="6" s="1"/>
  <c r="AS58" i="6" s="1"/>
  <c r="AQ20" i="6"/>
  <c r="AQ58" i="6" s="1"/>
  <c r="AJ25" i="6"/>
  <c r="AK25" i="6"/>
  <c r="AL25" i="6"/>
  <c r="AM25" i="6"/>
  <c r="AN25" i="6"/>
  <c r="AO25" i="6"/>
  <c r="AP25" i="6"/>
  <c r="AQ25" i="6"/>
  <c r="AR25" i="6"/>
  <c r="AS25" i="6"/>
  <c r="AJ34" i="5"/>
  <c r="AK34" i="5" s="1"/>
  <c r="AJ36" i="5"/>
  <c r="AK36" i="5" s="1"/>
  <c r="AL36" i="5" s="1"/>
  <c r="AM36" i="5" s="1"/>
  <c r="AN36" i="5" s="1"/>
  <c r="AO36" i="5" s="1"/>
  <c r="AP36" i="5" s="1"/>
  <c r="AQ36" i="5" s="1"/>
  <c r="AR36" i="5" s="1"/>
  <c r="AS36" i="5" s="1"/>
  <c r="AJ43" i="5"/>
  <c r="AK43" i="5"/>
  <c r="AL43" i="5"/>
  <c r="AM43" i="5"/>
  <c r="AN43" i="5"/>
  <c r="AO43" i="5"/>
  <c r="AP43" i="5"/>
  <c r="AQ43" i="5"/>
  <c r="AR43" i="5"/>
  <c r="AS43" i="5"/>
  <c r="AJ47" i="5"/>
  <c r="AK47" i="5"/>
  <c r="AL47" i="5"/>
  <c r="AM47" i="5"/>
  <c r="AN47" i="5"/>
  <c r="AO47" i="5"/>
  <c r="AP47" i="5"/>
  <c r="AQ47" i="5"/>
  <c r="AR47" i="5"/>
  <c r="AS47" i="5"/>
  <c r="AJ51" i="5"/>
  <c r="AK51" i="5"/>
  <c r="AL51" i="5" s="1"/>
  <c r="AM51" i="5" s="1"/>
  <c r="AN51" i="5" s="1"/>
  <c r="AO51" i="5"/>
  <c r="AP51" i="5" s="1"/>
  <c r="AQ51" i="5" s="1"/>
  <c r="AR51" i="5" s="1"/>
  <c r="AS51" i="5"/>
  <c r="AJ60" i="5"/>
  <c r="AK60" i="5" s="1"/>
  <c r="AL60" i="5" s="1"/>
  <c r="AM60" i="5"/>
  <c r="AN84" i="8" l="1"/>
  <c r="AS84" i="8"/>
  <c r="AK84" i="8"/>
  <c r="AP84" i="8"/>
  <c r="AT84" i="8"/>
  <c r="AL84" i="8"/>
  <c r="AQ84" i="8"/>
  <c r="AM84" i="8"/>
  <c r="AM128" i="5"/>
  <c r="AM102" i="5"/>
  <c r="AN60" i="5"/>
  <c r="AL34" i="5"/>
  <c r="AN128" i="5" l="1"/>
  <c r="AN102" i="5"/>
  <c r="AO60" i="5"/>
  <c r="AM34" i="5"/>
  <c r="AO102" i="5" l="1"/>
  <c r="AO128" i="5"/>
  <c r="AN34" i="5"/>
  <c r="AP60" i="5"/>
  <c r="AP128" i="5" l="1"/>
  <c r="AP102" i="5"/>
  <c r="AQ60" i="5"/>
  <c r="AO34" i="5"/>
  <c r="AQ102" i="5" l="1"/>
  <c r="AQ128" i="5"/>
  <c r="AP34" i="5"/>
  <c r="AR60" i="5"/>
  <c r="AR128" i="5" l="1"/>
  <c r="AR102" i="5"/>
  <c r="AS60" i="5"/>
  <c r="AQ34" i="5"/>
  <c r="AS102" i="5" l="1"/>
  <c r="AS128" i="5"/>
  <c r="AR34" i="5"/>
  <c r="AS34" i="5" l="1"/>
  <c r="K5" i="6" l="1"/>
  <c r="F11" i="11"/>
  <c r="H7" i="9"/>
  <c r="M83" i="6" l="1"/>
  <c r="R70" i="6"/>
  <c r="AJ80" i="8"/>
  <c r="AJ81" i="8"/>
  <c r="AJ82" i="8"/>
  <c r="AJ83" i="8"/>
  <c r="AJ59" i="8"/>
  <c r="AJ31" i="8"/>
  <c r="AJ35" i="8"/>
  <c r="N133" i="5"/>
  <c r="M133" i="5"/>
  <c r="O63" i="5"/>
  <c r="AJ84" i="8" l="1"/>
  <c r="N96" i="6"/>
  <c r="N97" i="6"/>
  <c r="M97" i="6"/>
  <c r="M96" i="6"/>
  <c r="N86" i="6"/>
  <c r="M86" i="6"/>
  <c r="M82" i="6"/>
  <c r="N82" i="6"/>
  <c r="N81" i="6"/>
  <c r="M81" i="6"/>
  <c r="O68" i="6"/>
  <c r="N24" i="6"/>
  <c r="N91" i="6" s="1"/>
  <c r="M24" i="6"/>
  <c r="M91" i="6" s="1"/>
  <c r="P16" i="6" l="1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I52" i="6" s="1"/>
  <c r="O16" i="6"/>
  <c r="AI69" i="6"/>
  <c r="AI81" i="6"/>
  <c r="AI83" i="6"/>
  <c r="AI82" i="6" s="1"/>
  <c r="AI86" i="6"/>
  <c r="AI87" i="6" s="1"/>
  <c r="AI91" i="6"/>
  <c r="AI92" i="6"/>
  <c r="AI96" i="6"/>
  <c r="AI97" i="6"/>
  <c r="AI136" i="6"/>
  <c r="AI14" i="6"/>
  <c r="AI15" i="6"/>
  <c r="AI19" i="6"/>
  <c r="AI20" i="6" s="1"/>
  <c r="AI58" i="6" s="1"/>
  <c r="AI24" i="6"/>
  <c r="AI25" i="6"/>
  <c r="N135" i="5"/>
  <c r="N136" i="5"/>
  <c r="N137" i="5"/>
  <c r="N138" i="5"/>
  <c r="O138" i="5"/>
  <c r="M136" i="5"/>
  <c r="M137" i="5"/>
  <c r="M138" i="5"/>
  <c r="M135" i="5"/>
  <c r="N134" i="5"/>
  <c r="M134" i="5"/>
  <c r="N132" i="5"/>
  <c r="M132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R131" i="5"/>
  <c r="N131" i="5"/>
  <c r="M131" i="5"/>
  <c r="M129" i="5"/>
  <c r="N128" i="5"/>
  <c r="O128" i="5"/>
  <c r="M128" i="5"/>
  <c r="AI98" i="6" l="1"/>
  <c r="AI134" i="6" s="1"/>
  <c r="AI119" i="6"/>
  <c r="AI23" i="6"/>
  <c r="AI90" i="6"/>
  <c r="AI93" i="6" s="1"/>
  <c r="AI122" i="5" s="1"/>
  <c r="AI125" i="6"/>
  <c r="AI26" i="6" l="1"/>
  <c r="AI54" i="5" s="1"/>
  <c r="P60" i="5" l="1"/>
  <c r="P128" i="5" s="1"/>
  <c r="P70" i="5"/>
  <c r="O69" i="5"/>
  <c r="O68" i="5"/>
  <c r="O136" i="5" s="1"/>
  <c r="O66" i="5"/>
  <c r="O134" i="5" s="1"/>
  <c r="Q60" i="5" l="1"/>
  <c r="P66" i="5"/>
  <c r="P134" i="5" s="1"/>
  <c r="O137" i="5"/>
  <c r="Q66" i="5"/>
  <c r="Q70" i="5"/>
  <c r="P138" i="5"/>
  <c r="P68" i="5"/>
  <c r="O64" i="5"/>
  <c r="O132" i="5" s="1"/>
  <c r="Q128" i="5" l="1"/>
  <c r="R60" i="5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AE60" i="5" s="1"/>
  <c r="AF60" i="5" s="1"/>
  <c r="AG60" i="5" s="1"/>
  <c r="AH60" i="5" s="1"/>
  <c r="AI60" i="5" s="1"/>
  <c r="P136" i="5"/>
  <c r="Q68" i="5"/>
  <c r="R70" i="5"/>
  <c r="S70" i="5" s="1"/>
  <c r="T70" i="5" s="1"/>
  <c r="U70" i="5" s="1"/>
  <c r="Q138" i="5"/>
  <c r="Q134" i="5"/>
  <c r="R66" i="5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AH66" i="5" s="1"/>
  <c r="AI66" i="5" s="1"/>
  <c r="AJ66" i="5" s="1"/>
  <c r="AK66" i="5" s="1"/>
  <c r="AL66" i="5" s="1"/>
  <c r="AM66" i="5" s="1"/>
  <c r="AN66" i="5" s="1"/>
  <c r="AO66" i="5" s="1"/>
  <c r="AP66" i="5" s="1"/>
  <c r="AQ66" i="5" s="1"/>
  <c r="AR66" i="5" s="1"/>
  <c r="AS66" i="5" s="1"/>
  <c r="O131" i="5"/>
  <c r="O61" i="5"/>
  <c r="N129" i="5"/>
  <c r="M42" i="5"/>
  <c r="N42" i="5"/>
  <c r="O42" i="5"/>
  <c r="N118" i="5"/>
  <c r="O118" i="5"/>
  <c r="N119" i="5"/>
  <c r="M119" i="5"/>
  <c r="M118" i="5"/>
  <c r="N104" i="5"/>
  <c r="O104" i="5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AE104" i="5" s="1"/>
  <c r="AF104" i="5" s="1"/>
  <c r="AG104" i="5" s="1"/>
  <c r="AH104" i="5" s="1"/>
  <c r="AI104" i="5" s="1"/>
  <c r="M104" i="5"/>
  <c r="N101" i="5"/>
  <c r="O101" i="5"/>
  <c r="N102" i="5"/>
  <c r="O102" i="5"/>
  <c r="M101" i="5"/>
  <c r="M102" i="5"/>
  <c r="N100" i="5"/>
  <c r="O100" i="5"/>
  <c r="M100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K111" i="5"/>
  <c r="P36" i="5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6" i="5" s="1"/>
  <c r="AI36" i="5" s="1"/>
  <c r="P34" i="5"/>
  <c r="Q34" i="5" s="1"/>
  <c r="M103" i="5" l="1"/>
  <c r="M105" i="5" s="1"/>
  <c r="M106" i="5" s="1"/>
  <c r="N103" i="5"/>
  <c r="N105" i="5" s="1"/>
  <c r="N106" i="5" s="1"/>
  <c r="O129" i="5"/>
  <c r="P61" i="5"/>
  <c r="Q136" i="5"/>
  <c r="R68" i="5"/>
  <c r="S68" i="5" s="1"/>
  <c r="T68" i="5" s="1"/>
  <c r="U68" i="5" s="1"/>
  <c r="V68" i="5" s="1"/>
  <c r="W68" i="5" s="1"/>
  <c r="X68" i="5" s="1"/>
  <c r="Y68" i="5" s="1"/>
  <c r="Z68" i="5" s="1"/>
  <c r="AA68" i="5" s="1"/>
  <c r="AB68" i="5" s="1"/>
  <c r="AC68" i="5" s="1"/>
  <c r="AD68" i="5" s="1"/>
  <c r="AE68" i="5" s="1"/>
  <c r="AF68" i="5" s="1"/>
  <c r="AG68" i="5" s="1"/>
  <c r="AH68" i="5" s="1"/>
  <c r="AI68" i="5" s="1"/>
  <c r="AJ68" i="5" s="1"/>
  <c r="AK68" i="5" s="1"/>
  <c r="AL68" i="5" s="1"/>
  <c r="AM68" i="5" s="1"/>
  <c r="AN68" i="5" s="1"/>
  <c r="AO68" i="5" s="1"/>
  <c r="AP68" i="5" s="1"/>
  <c r="AQ68" i="5" s="1"/>
  <c r="AR68" i="5" s="1"/>
  <c r="AS68" i="5" s="1"/>
  <c r="O103" i="5"/>
  <c r="O105" i="5" s="1"/>
  <c r="O106" i="5" s="1"/>
  <c r="V70" i="5"/>
  <c r="P102" i="5"/>
  <c r="Q102" i="5" s="1"/>
  <c r="R34" i="5"/>
  <c r="O51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M47" i="5"/>
  <c r="K43" i="5"/>
  <c r="B33" i="5"/>
  <c r="B34" i="5" s="1"/>
  <c r="B35" i="5" s="1"/>
  <c r="B36" i="5" s="1"/>
  <c r="B37" i="5" s="1"/>
  <c r="B38" i="5" s="1"/>
  <c r="B40" i="5" s="1"/>
  <c r="B41" i="5" s="1"/>
  <c r="B42" i="5" s="1"/>
  <c r="B43" i="5" s="1"/>
  <c r="B44" i="5" s="1"/>
  <c r="B46" i="5" s="1"/>
  <c r="B47" i="5" s="1"/>
  <c r="B48" i="5" s="1"/>
  <c r="B50" i="5" s="1"/>
  <c r="B51" i="5" s="1"/>
  <c r="B53" i="5" s="1"/>
  <c r="B54" i="5" s="1"/>
  <c r="B56" i="5" s="1"/>
  <c r="M35" i="5"/>
  <c r="M37" i="5" s="1"/>
  <c r="M38" i="5" s="1"/>
  <c r="O35" i="5"/>
  <c r="O37" i="5" s="1"/>
  <c r="O38" i="5" s="1"/>
  <c r="N35" i="5"/>
  <c r="N37" i="5" s="1"/>
  <c r="N38" i="5" s="1"/>
  <c r="C21" i="12"/>
  <c r="S23" i="12"/>
  <c r="S24" i="12"/>
  <c r="P51" i="5" l="1"/>
  <c r="Q51" i="5" s="1"/>
  <c r="R51" i="5" s="1"/>
  <c r="S51" i="5" s="1"/>
  <c r="T51" i="5" s="1"/>
  <c r="U51" i="5" s="1"/>
  <c r="V51" i="5" s="1"/>
  <c r="W51" i="5" s="1"/>
  <c r="X51" i="5" s="1"/>
  <c r="Y51" i="5" s="1"/>
  <c r="Z51" i="5" s="1"/>
  <c r="AA51" i="5" s="1"/>
  <c r="AB51" i="5" s="1"/>
  <c r="AC51" i="5" s="1"/>
  <c r="AD51" i="5" s="1"/>
  <c r="AE51" i="5" s="1"/>
  <c r="AF51" i="5" s="1"/>
  <c r="AG51" i="5" s="1"/>
  <c r="AH51" i="5" s="1"/>
  <c r="AI51" i="5" s="1"/>
  <c r="O119" i="5"/>
  <c r="P119" i="5" s="1"/>
  <c r="Q119" i="5" s="1"/>
  <c r="R119" i="5" s="1"/>
  <c r="S119" i="5" s="1"/>
  <c r="T119" i="5" s="1"/>
  <c r="U119" i="5" s="1"/>
  <c r="V119" i="5" s="1"/>
  <c r="W119" i="5" s="1"/>
  <c r="X119" i="5" s="1"/>
  <c r="Y119" i="5" s="1"/>
  <c r="Z119" i="5" s="1"/>
  <c r="AA119" i="5" s="1"/>
  <c r="AB119" i="5" s="1"/>
  <c r="AC119" i="5" s="1"/>
  <c r="AD119" i="5" s="1"/>
  <c r="AE119" i="5" s="1"/>
  <c r="AF119" i="5" s="1"/>
  <c r="AG119" i="5" s="1"/>
  <c r="AH119" i="5" s="1"/>
  <c r="AI119" i="5" s="1"/>
  <c r="P129" i="5"/>
  <c r="Q61" i="5"/>
  <c r="W70" i="5"/>
  <c r="N43" i="5"/>
  <c r="N48" i="5" s="1"/>
  <c r="AH111" i="5"/>
  <c r="AD111" i="5"/>
  <c r="Z111" i="5"/>
  <c r="V111" i="5"/>
  <c r="R111" i="5"/>
  <c r="N111" i="5"/>
  <c r="AI111" i="5"/>
  <c r="AA111" i="5"/>
  <c r="W111" i="5"/>
  <c r="S111" i="5"/>
  <c r="O111" i="5"/>
  <c r="O116" i="5" s="1"/>
  <c r="AG111" i="5"/>
  <c r="AC111" i="5"/>
  <c r="Y111" i="5"/>
  <c r="U111" i="5"/>
  <c r="Q111" i="5"/>
  <c r="M111" i="5"/>
  <c r="AF111" i="5"/>
  <c r="AB111" i="5"/>
  <c r="X111" i="5"/>
  <c r="T111" i="5"/>
  <c r="P111" i="5"/>
  <c r="AE111" i="5"/>
  <c r="R102" i="5"/>
  <c r="S34" i="5"/>
  <c r="AG43" i="5"/>
  <c r="AC43" i="5"/>
  <c r="Y43" i="5"/>
  <c r="U43" i="5"/>
  <c r="Q43" i="5"/>
  <c r="M43" i="5"/>
  <c r="AF43" i="5"/>
  <c r="AB43" i="5"/>
  <c r="X43" i="5"/>
  <c r="T43" i="5"/>
  <c r="P43" i="5"/>
  <c r="AI43" i="5"/>
  <c r="AE43" i="5"/>
  <c r="AA43" i="5"/>
  <c r="W43" i="5"/>
  <c r="S43" i="5"/>
  <c r="O43" i="5"/>
  <c r="O48" i="5" s="1"/>
  <c r="AH43" i="5"/>
  <c r="AD43" i="5"/>
  <c r="Z43" i="5"/>
  <c r="V43" i="5"/>
  <c r="R43" i="5"/>
  <c r="P80" i="1"/>
  <c r="Q80" i="1"/>
  <c r="K79" i="1"/>
  <c r="K76" i="1"/>
  <c r="O76" i="1" s="1"/>
  <c r="P76" i="1" s="1"/>
  <c r="Q76" i="1" l="1"/>
  <c r="O112" i="5"/>
  <c r="O121" i="5" s="1"/>
  <c r="N44" i="5"/>
  <c r="N53" i="5" s="1"/>
  <c r="Q129" i="5"/>
  <c r="R61" i="5"/>
  <c r="S61" i="5" s="1"/>
  <c r="T61" i="5" s="1"/>
  <c r="U61" i="5" s="1"/>
  <c r="V61" i="5" s="1"/>
  <c r="W61" i="5" s="1"/>
  <c r="X61" i="5" s="1"/>
  <c r="Y61" i="5" s="1"/>
  <c r="Z61" i="5" s="1"/>
  <c r="AA61" i="5" s="1"/>
  <c r="AB61" i="5" s="1"/>
  <c r="AC61" i="5" s="1"/>
  <c r="AD61" i="5" s="1"/>
  <c r="AE61" i="5" s="1"/>
  <c r="AF61" i="5" s="1"/>
  <c r="AG61" i="5" s="1"/>
  <c r="AH61" i="5" s="1"/>
  <c r="AI61" i="5" s="1"/>
  <c r="AJ61" i="5" s="1"/>
  <c r="X70" i="5"/>
  <c r="N112" i="5"/>
  <c r="N116" i="5"/>
  <c r="M116" i="5"/>
  <c r="M112" i="5"/>
  <c r="S102" i="5"/>
  <c r="T34" i="5"/>
  <c r="M48" i="5"/>
  <c r="M44" i="5"/>
  <c r="AI83" i="5"/>
  <c r="AI85" i="5"/>
  <c r="AI93" i="5"/>
  <c r="AI17" i="5"/>
  <c r="AJ59" i="5" l="1"/>
  <c r="AK61" i="5"/>
  <c r="R76" i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M121" i="5"/>
  <c r="N121" i="5"/>
  <c r="Y70" i="5"/>
  <c r="M53" i="5"/>
  <c r="T102" i="5"/>
  <c r="U34" i="5"/>
  <c r="AL61" i="5" l="1"/>
  <c r="AK59" i="5"/>
  <c r="Z70" i="5"/>
  <c r="U102" i="5"/>
  <c r="V34" i="5"/>
  <c r="W12" i="4"/>
  <c r="U12" i="4"/>
  <c r="C90" i="23"/>
  <c r="C89" i="23"/>
  <c r="C88" i="23"/>
  <c r="V12" i="4"/>
  <c r="Q16" i="4"/>
  <c r="W16" i="4" s="1"/>
  <c r="P16" i="4"/>
  <c r="V16" i="4" s="1"/>
  <c r="O16" i="4"/>
  <c r="U16" i="4" s="1"/>
  <c r="U10" i="4"/>
  <c r="Q12" i="4"/>
  <c r="O12" i="4"/>
  <c r="P12" i="4"/>
  <c r="O10" i="4"/>
  <c r="O15" i="4"/>
  <c r="Q15" i="4"/>
  <c r="P15" i="4"/>
  <c r="AM61" i="5" l="1"/>
  <c r="AL59" i="5"/>
  <c r="AA70" i="5"/>
  <c r="V102" i="5"/>
  <c r="W34" i="5"/>
  <c r="Q14" i="4"/>
  <c r="N10" i="4"/>
  <c r="J83" i="23"/>
  <c r="G81" i="23"/>
  <c r="F81" i="23"/>
  <c r="E81" i="23"/>
  <c r="D81" i="23"/>
  <c r="D78" i="23"/>
  <c r="C78" i="23"/>
  <c r="E77" i="23"/>
  <c r="F77" i="23" s="1"/>
  <c r="G77" i="23" s="1"/>
  <c r="D77" i="23"/>
  <c r="E76" i="23"/>
  <c r="E78" i="23" s="1"/>
  <c r="D76" i="23"/>
  <c r="F73" i="23"/>
  <c r="G73" i="23" s="1"/>
  <c r="E73" i="23"/>
  <c r="D73" i="23"/>
  <c r="C71" i="23"/>
  <c r="E67" i="23"/>
  <c r="F67" i="23" s="1"/>
  <c r="D67" i="23"/>
  <c r="E65" i="23"/>
  <c r="F65" i="23" s="1"/>
  <c r="G65" i="23" s="1"/>
  <c r="D65" i="23"/>
  <c r="E64" i="23"/>
  <c r="F64" i="23" s="1"/>
  <c r="D64" i="23"/>
  <c r="E63" i="23"/>
  <c r="D63" i="23"/>
  <c r="C63" i="23"/>
  <c r="G60" i="23"/>
  <c r="F60" i="23"/>
  <c r="E60" i="23"/>
  <c r="D60" i="23"/>
  <c r="G59" i="23"/>
  <c r="F59" i="23"/>
  <c r="E59" i="23"/>
  <c r="D59" i="23"/>
  <c r="G58" i="23"/>
  <c r="F58" i="23"/>
  <c r="E58" i="23"/>
  <c r="D58" i="23"/>
  <c r="G57" i="23"/>
  <c r="F57" i="23"/>
  <c r="E57" i="23"/>
  <c r="D57" i="23"/>
  <c r="G56" i="23"/>
  <c r="F56" i="23"/>
  <c r="E56" i="23"/>
  <c r="D56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G52" i="23"/>
  <c r="F52" i="23"/>
  <c r="E52" i="23"/>
  <c r="D52" i="23"/>
  <c r="G51" i="23"/>
  <c r="F51" i="23"/>
  <c r="E51" i="23"/>
  <c r="D51" i="23"/>
  <c r="G50" i="23"/>
  <c r="F50" i="23"/>
  <c r="E50" i="23"/>
  <c r="D50" i="23"/>
  <c r="G49" i="23"/>
  <c r="F49" i="23"/>
  <c r="E49" i="23"/>
  <c r="D49" i="23"/>
  <c r="G48" i="23"/>
  <c r="F48" i="23"/>
  <c r="E48" i="23"/>
  <c r="D48" i="23"/>
  <c r="G47" i="23"/>
  <c r="F47" i="23"/>
  <c r="E47" i="23"/>
  <c r="D47" i="23"/>
  <c r="G46" i="23"/>
  <c r="F46" i="23"/>
  <c r="E46" i="23"/>
  <c r="D46" i="23"/>
  <c r="G45" i="23"/>
  <c r="F45" i="23"/>
  <c r="E45" i="23"/>
  <c r="D45" i="23"/>
  <c r="G44" i="23"/>
  <c r="F44" i="23"/>
  <c r="E44" i="23"/>
  <c r="D44" i="23"/>
  <c r="J43" i="23"/>
  <c r="E43" i="23"/>
  <c r="F43" i="23" s="1"/>
  <c r="D43" i="23"/>
  <c r="D42" i="23" s="1"/>
  <c r="D61" i="23" s="1"/>
  <c r="E42" i="23"/>
  <c r="E61" i="23" s="1"/>
  <c r="C42" i="23"/>
  <c r="C61" i="23" s="1"/>
  <c r="E38" i="23"/>
  <c r="F38" i="23" s="1"/>
  <c r="G38" i="23" s="1"/>
  <c r="D38" i="23"/>
  <c r="E37" i="23"/>
  <c r="F37" i="23" s="1"/>
  <c r="G37" i="23" s="1"/>
  <c r="D37" i="23"/>
  <c r="E36" i="23"/>
  <c r="F36" i="23" s="1"/>
  <c r="D36" i="23"/>
  <c r="E35" i="23"/>
  <c r="D35" i="23"/>
  <c r="C35" i="23"/>
  <c r="G33" i="23"/>
  <c r="F33" i="23"/>
  <c r="E33" i="23"/>
  <c r="D33" i="23"/>
  <c r="G32" i="23"/>
  <c r="F32" i="23"/>
  <c r="E32" i="23"/>
  <c r="D32" i="23"/>
  <c r="G31" i="23"/>
  <c r="F31" i="23"/>
  <c r="E31" i="23"/>
  <c r="D31" i="23"/>
  <c r="C31" i="23"/>
  <c r="E30" i="23"/>
  <c r="F30" i="23" s="1"/>
  <c r="G30" i="23" s="1"/>
  <c r="D30" i="23"/>
  <c r="E29" i="23"/>
  <c r="F29" i="23" s="1"/>
  <c r="G29" i="23" s="1"/>
  <c r="D29" i="23"/>
  <c r="E28" i="23"/>
  <c r="F28" i="23" s="1"/>
  <c r="G28" i="23" s="1"/>
  <c r="D28" i="23"/>
  <c r="E27" i="23"/>
  <c r="F27" i="23" s="1"/>
  <c r="G27" i="23" s="1"/>
  <c r="D27" i="23"/>
  <c r="E26" i="23"/>
  <c r="F26" i="23" s="1"/>
  <c r="G26" i="23" s="1"/>
  <c r="D26" i="23"/>
  <c r="E25" i="23"/>
  <c r="F25" i="23" s="1"/>
  <c r="G25" i="23" s="1"/>
  <c r="D25" i="23"/>
  <c r="E24" i="23"/>
  <c r="F24" i="23" s="1"/>
  <c r="D24" i="23"/>
  <c r="D23" i="23" s="1"/>
  <c r="E23" i="23"/>
  <c r="C23" i="23"/>
  <c r="E22" i="23"/>
  <c r="F22" i="23" s="1"/>
  <c r="G22" i="23" s="1"/>
  <c r="D22" i="23"/>
  <c r="E21" i="23"/>
  <c r="F21" i="23" s="1"/>
  <c r="G21" i="23" s="1"/>
  <c r="D21" i="23"/>
  <c r="E20" i="23"/>
  <c r="F20" i="23" s="1"/>
  <c r="G20" i="23" s="1"/>
  <c r="D20" i="23"/>
  <c r="E19" i="23"/>
  <c r="F19" i="23" s="1"/>
  <c r="G19" i="23" s="1"/>
  <c r="D19" i="23"/>
  <c r="E18" i="23"/>
  <c r="F18" i="23" s="1"/>
  <c r="G18" i="23" s="1"/>
  <c r="D18" i="23"/>
  <c r="E17" i="23"/>
  <c r="F17" i="23" s="1"/>
  <c r="D17" i="23"/>
  <c r="E16" i="23"/>
  <c r="D16" i="23"/>
  <c r="C16" i="23"/>
  <c r="C13" i="23"/>
  <c r="D11" i="23"/>
  <c r="C11" i="23"/>
  <c r="E10" i="23"/>
  <c r="F10" i="23" s="1"/>
  <c r="G10" i="23" s="1"/>
  <c r="D10" i="23"/>
  <c r="E9" i="23"/>
  <c r="F9" i="23" s="1"/>
  <c r="G9" i="23" s="1"/>
  <c r="D9" i="23"/>
  <c r="E8" i="23"/>
  <c r="D8" i="23"/>
  <c r="E7" i="23"/>
  <c r="E11" i="23" s="1"/>
  <c r="D7" i="23"/>
  <c r="AN61" i="5" l="1"/>
  <c r="AM59" i="5"/>
  <c r="AB70" i="5"/>
  <c r="W102" i="5"/>
  <c r="X34" i="5"/>
  <c r="G17" i="23"/>
  <c r="G16" i="23" s="1"/>
  <c r="F16" i="23"/>
  <c r="G36" i="23"/>
  <c r="G35" i="23" s="1"/>
  <c r="F35" i="23"/>
  <c r="G43" i="23"/>
  <c r="G42" i="23" s="1"/>
  <c r="G61" i="23" s="1"/>
  <c r="F42" i="23"/>
  <c r="F61" i="23" s="1"/>
  <c r="I38" i="23"/>
  <c r="J38" i="23" s="1"/>
  <c r="C39" i="23"/>
  <c r="G24" i="23"/>
  <c r="G23" i="23" s="1"/>
  <c r="F23" i="23"/>
  <c r="G64" i="23"/>
  <c r="G63" i="23" s="1"/>
  <c r="F63" i="23"/>
  <c r="G67" i="23"/>
  <c r="F7" i="23"/>
  <c r="F8" i="23"/>
  <c r="D13" i="23"/>
  <c r="D14" i="23" s="1"/>
  <c r="D84" i="23" s="1"/>
  <c r="C14" i="23"/>
  <c r="D71" i="23"/>
  <c r="F76" i="23"/>
  <c r="E13" i="23"/>
  <c r="E14" i="23" s="1"/>
  <c r="E71" i="23"/>
  <c r="E66" i="23" s="1"/>
  <c r="AO61" i="5" l="1"/>
  <c r="AN59" i="5"/>
  <c r="AC70" i="5"/>
  <c r="X102" i="5"/>
  <c r="Y34" i="5"/>
  <c r="E84" i="23"/>
  <c r="F78" i="23"/>
  <c r="G76" i="23"/>
  <c r="G78" i="23" s="1"/>
  <c r="G8" i="23"/>
  <c r="F13" i="23"/>
  <c r="F11" i="23"/>
  <c r="G7" i="23"/>
  <c r="G11" i="23" s="1"/>
  <c r="C72" i="23"/>
  <c r="C84" i="23"/>
  <c r="F71" i="23"/>
  <c r="G71" i="23" s="1"/>
  <c r="E39" i="23"/>
  <c r="E34" i="23" s="1"/>
  <c r="E40" i="23" s="1"/>
  <c r="D39" i="23"/>
  <c r="D34" i="23" s="1"/>
  <c r="D40" i="23" s="1"/>
  <c r="C34" i="23"/>
  <c r="C40" i="23" s="1"/>
  <c r="AP61" i="5" l="1"/>
  <c r="AO59" i="5"/>
  <c r="AD70" i="5"/>
  <c r="Y102" i="5"/>
  <c r="Z34" i="5"/>
  <c r="C70" i="23"/>
  <c r="C69" i="23"/>
  <c r="C68" i="23"/>
  <c r="E72" i="23"/>
  <c r="E74" i="23" s="1"/>
  <c r="D72" i="23"/>
  <c r="F14" i="23"/>
  <c r="F84" i="23" s="1"/>
  <c r="G13" i="23"/>
  <c r="G14" i="23" s="1"/>
  <c r="F39" i="23"/>
  <c r="C80" i="23"/>
  <c r="AQ61" i="5" l="1"/>
  <c r="AP59" i="5"/>
  <c r="AE70" i="5"/>
  <c r="Z102" i="5"/>
  <c r="AA34" i="5"/>
  <c r="E83" i="23"/>
  <c r="E80" i="23"/>
  <c r="E82" i="23" s="1"/>
  <c r="C82" i="23"/>
  <c r="D80" i="23"/>
  <c r="D82" i="23" s="1"/>
  <c r="G84" i="23"/>
  <c r="C66" i="23"/>
  <c r="C74" i="23" s="1"/>
  <c r="F68" i="23"/>
  <c r="D68" i="23"/>
  <c r="F72" i="23"/>
  <c r="G72" i="23" s="1"/>
  <c r="F69" i="23"/>
  <c r="G69" i="23" s="1"/>
  <c r="D69" i="23"/>
  <c r="G39" i="23"/>
  <c r="G34" i="23" s="1"/>
  <c r="G40" i="23" s="1"/>
  <c r="F34" i="23"/>
  <c r="F40" i="23" s="1"/>
  <c r="F70" i="23"/>
  <c r="G70" i="23" s="1"/>
  <c r="D70" i="23"/>
  <c r="AR61" i="5" l="1"/>
  <c r="AQ59" i="5"/>
  <c r="AF70" i="5"/>
  <c r="AA102" i="5"/>
  <c r="AB34" i="5"/>
  <c r="D66" i="23"/>
  <c r="D74" i="23" s="1"/>
  <c r="D83" i="23" s="1"/>
  <c r="G68" i="23"/>
  <c r="G66" i="23" s="1"/>
  <c r="G74" i="23" s="1"/>
  <c r="F66" i="23"/>
  <c r="F74" i="23" s="1"/>
  <c r="C83" i="23"/>
  <c r="F80" i="23"/>
  <c r="AS61" i="5" l="1"/>
  <c r="AS59" i="5" s="1"/>
  <c r="AR59" i="5"/>
  <c r="AG70" i="5"/>
  <c r="AB102" i="5"/>
  <c r="AC34" i="5"/>
  <c r="G83" i="23"/>
  <c r="G80" i="23"/>
  <c r="G82" i="23" s="1"/>
  <c r="F82" i="23"/>
  <c r="F83" i="23"/>
  <c r="AH70" i="5" l="1"/>
  <c r="AC102" i="5"/>
  <c r="AD34" i="5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AF69" i="16"/>
  <c r="AG69" i="16"/>
  <c r="AH69" i="16"/>
  <c r="AI69" i="16"/>
  <c r="AJ69" i="16"/>
  <c r="AK69" i="16"/>
  <c r="AL69" i="16"/>
  <c r="AM69" i="16"/>
  <c r="AN69" i="16"/>
  <c r="AO69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F70" i="16"/>
  <c r="AG70" i="16"/>
  <c r="AH70" i="16"/>
  <c r="AI70" i="16"/>
  <c r="AJ70" i="16"/>
  <c r="AK70" i="16"/>
  <c r="AL70" i="16"/>
  <c r="AM70" i="16"/>
  <c r="AN70" i="16"/>
  <c r="AO70" i="16"/>
  <c r="I69" i="16"/>
  <c r="AI70" i="5" l="1"/>
  <c r="AJ70" i="5" s="1"/>
  <c r="AK70" i="5" s="1"/>
  <c r="AL70" i="5" s="1"/>
  <c r="AM70" i="5" s="1"/>
  <c r="AN70" i="5" s="1"/>
  <c r="AO70" i="5" s="1"/>
  <c r="AP70" i="5" s="1"/>
  <c r="AQ70" i="5" s="1"/>
  <c r="AR70" i="5" s="1"/>
  <c r="AS70" i="5" s="1"/>
  <c r="AD102" i="5"/>
  <c r="AE34" i="5"/>
  <c r="AE102" i="5" l="1"/>
  <c r="AF34" i="5"/>
  <c r="AF102" i="5" l="1"/>
  <c r="AG34" i="5"/>
  <c r="AG102" i="5" l="1"/>
  <c r="AH34" i="5"/>
  <c r="AH102" i="5" l="1"/>
  <c r="AI34" i="5"/>
  <c r="AI102" i="5" l="1"/>
  <c r="J63" i="14" l="1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I63" i="14"/>
  <c r="J62" i="16"/>
  <c r="J63" i="16" s="1"/>
  <c r="K62" i="16"/>
  <c r="K63" i="16" s="1"/>
  <c r="I62" i="16"/>
  <c r="I48" i="16"/>
  <c r="I47" i="16"/>
  <c r="K31" i="16"/>
  <c r="L31" i="16" s="1"/>
  <c r="M31" i="16" s="1"/>
  <c r="N31" i="16" s="1"/>
  <c r="O31" i="16" s="1"/>
  <c r="P31" i="16" s="1"/>
  <c r="Q31" i="16" s="1"/>
  <c r="R31" i="16" s="1"/>
  <c r="S31" i="16" s="1"/>
  <c r="T31" i="16" s="1"/>
  <c r="U31" i="16" s="1"/>
  <c r="V31" i="16" s="1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G31" i="16" s="1"/>
  <c r="AH31" i="16" s="1"/>
  <c r="AI31" i="16" s="1"/>
  <c r="AJ31" i="16" s="1"/>
  <c r="AK31" i="16" s="1"/>
  <c r="AL31" i="16" s="1"/>
  <c r="AM31" i="16" s="1"/>
  <c r="AN31" i="16" s="1"/>
  <c r="AO31" i="16" s="1"/>
  <c r="K32" i="16"/>
  <c r="L32" i="16" s="1"/>
  <c r="M32" i="16" s="1"/>
  <c r="N32" i="16" s="1"/>
  <c r="O32" i="16" s="1"/>
  <c r="P32" i="16" s="1"/>
  <c r="Q32" i="16" s="1"/>
  <c r="R32" i="16" s="1"/>
  <c r="S32" i="16" s="1"/>
  <c r="T32" i="16" s="1"/>
  <c r="U32" i="16" s="1"/>
  <c r="V32" i="16" s="1"/>
  <c r="W32" i="16" s="1"/>
  <c r="X32" i="16" s="1"/>
  <c r="Y32" i="16" s="1"/>
  <c r="Z32" i="16" s="1"/>
  <c r="AA32" i="16" s="1"/>
  <c r="AB32" i="16" s="1"/>
  <c r="AC32" i="16" s="1"/>
  <c r="AD32" i="16" s="1"/>
  <c r="AE32" i="16" s="1"/>
  <c r="AF32" i="16" s="1"/>
  <c r="AG32" i="16" s="1"/>
  <c r="AH32" i="16" s="1"/>
  <c r="AI32" i="16" s="1"/>
  <c r="AJ32" i="16" s="1"/>
  <c r="AK32" i="16" s="1"/>
  <c r="AL32" i="16" s="1"/>
  <c r="AM32" i="16" s="1"/>
  <c r="AN32" i="16" s="1"/>
  <c r="AO32" i="16" s="1"/>
  <c r="L62" i="16" l="1"/>
  <c r="I63" i="16"/>
  <c r="J80" i="14"/>
  <c r="J82" i="14" s="1"/>
  <c r="K80" i="14"/>
  <c r="K82" i="14" s="1"/>
  <c r="L80" i="14"/>
  <c r="L82" i="14" s="1"/>
  <c r="M80" i="14"/>
  <c r="M82" i="14" s="1"/>
  <c r="N80" i="14"/>
  <c r="N82" i="14" s="1"/>
  <c r="O80" i="14"/>
  <c r="O82" i="14" s="1"/>
  <c r="P80" i="14"/>
  <c r="P82" i="14" s="1"/>
  <c r="Q80" i="14"/>
  <c r="Q82" i="14" s="1"/>
  <c r="R80" i="14"/>
  <c r="R82" i="14" s="1"/>
  <c r="S80" i="14"/>
  <c r="S82" i="14" s="1"/>
  <c r="T80" i="14"/>
  <c r="T82" i="14" s="1"/>
  <c r="U80" i="14"/>
  <c r="U82" i="14" s="1"/>
  <c r="V80" i="14"/>
  <c r="V82" i="14" s="1"/>
  <c r="W80" i="14"/>
  <c r="W82" i="14" s="1"/>
  <c r="X80" i="14"/>
  <c r="X82" i="14" s="1"/>
  <c r="Y80" i="14"/>
  <c r="Y82" i="14" s="1"/>
  <c r="Z80" i="14"/>
  <c r="Z82" i="14" s="1"/>
  <c r="AA80" i="14"/>
  <c r="AA82" i="14" s="1"/>
  <c r="AB80" i="14"/>
  <c r="AB82" i="14" s="1"/>
  <c r="AC80" i="14"/>
  <c r="AC82" i="14" s="1"/>
  <c r="AG12" i="18" s="1"/>
  <c r="AD80" i="14"/>
  <c r="AD82" i="14" s="1"/>
  <c r="AH12" i="18" s="1"/>
  <c r="AE80" i="14"/>
  <c r="AE82" i="14" s="1"/>
  <c r="AI12" i="18" s="1"/>
  <c r="AF80" i="14"/>
  <c r="AF82" i="14" s="1"/>
  <c r="AJ12" i="18" s="1"/>
  <c r="AG80" i="14"/>
  <c r="AG82" i="14" s="1"/>
  <c r="AK12" i="18" s="1"/>
  <c r="AH80" i="14"/>
  <c r="AH82" i="14" s="1"/>
  <c r="AL12" i="18" s="1"/>
  <c r="AI80" i="14"/>
  <c r="AI82" i="14" s="1"/>
  <c r="AM12" i="18" s="1"/>
  <c r="AJ80" i="14"/>
  <c r="AJ82" i="14" s="1"/>
  <c r="AN12" i="18" s="1"/>
  <c r="AK80" i="14"/>
  <c r="AK82" i="14" s="1"/>
  <c r="AO12" i="18" s="1"/>
  <c r="AL80" i="14"/>
  <c r="AL82" i="14" s="1"/>
  <c r="AP12" i="18" s="1"/>
  <c r="AM80" i="14"/>
  <c r="AM82" i="14" s="1"/>
  <c r="AQ12" i="18" s="1"/>
  <c r="AN80" i="14"/>
  <c r="AN82" i="14" s="1"/>
  <c r="AO80" i="14"/>
  <c r="AO82" i="14" s="1"/>
  <c r="B81" i="14"/>
  <c r="I71" i="14"/>
  <c r="I70" i="16" s="1"/>
  <c r="I23" i="14"/>
  <c r="I31" i="14"/>
  <c r="I32" i="14"/>
  <c r="M3" i="21" l="1" a="1"/>
  <c r="M62" i="16"/>
  <c r="L63" i="16"/>
  <c r="M4" i="21" l="1"/>
  <c r="M19" i="21"/>
  <c r="M22" i="21"/>
  <c r="O22" i="21" s="1"/>
  <c r="M21" i="21"/>
  <c r="M5" i="21"/>
  <c r="M7" i="21"/>
  <c r="M10" i="21"/>
  <c r="M20" i="21"/>
  <c r="M30" i="21"/>
  <c r="O30" i="21" s="1"/>
  <c r="M14" i="21"/>
  <c r="M11" i="21"/>
  <c r="M6" i="21"/>
  <c r="M17" i="21"/>
  <c r="M31" i="21"/>
  <c r="O31" i="21" s="1"/>
  <c r="M26" i="21"/>
  <c r="O26" i="21" s="1"/>
  <c r="M32" i="21"/>
  <c r="O32" i="21" s="1"/>
  <c r="M16" i="21"/>
  <c r="M27" i="21"/>
  <c r="O27" i="21" s="1"/>
  <c r="M9" i="21"/>
  <c r="M24" i="21"/>
  <c r="O24" i="21" s="1"/>
  <c r="M3" i="21"/>
  <c r="M29" i="21"/>
  <c r="O29" i="21" s="1"/>
  <c r="M13" i="21"/>
  <c r="M23" i="21"/>
  <c r="O23" i="21" s="1"/>
  <c r="M18" i="21"/>
  <c r="M28" i="21"/>
  <c r="O28" i="21" s="1"/>
  <c r="M12" i="21"/>
  <c r="M25" i="21"/>
  <c r="O25" i="21" s="1"/>
  <c r="M15" i="21"/>
  <c r="M8" i="21"/>
  <c r="M63" i="16"/>
  <c r="N62" i="16"/>
  <c r="N63" i="16" l="1"/>
  <c r="O62" i="16"/>
  <c r="O63" i="16" l="1"/>
  <c r="P62" i="16"/>
  <c r="Q62" i="16" l="1"/>
  <c r="P63" i="16"/>
  <c r="Q63" i="16" l="1"/>
  <c r="R62" i="16"/>
  <c r="S62" i="16" l="1"/>
  <c r="R63" i="16"/>
  <c r="S63" i="16" l="1"/>
  <c r="T62" i="16"/>
  <c r="T63" i="16" l="1"/>
  <c r="U62" i="16"/>
  <c r="U63" i="16" l="1"/>
  <c r="V62" i="16"/>
  <c r="V63" i="16" l="1"/>
  <c r="W62" i="16"/>
  <c r="W63" i="16" l="1"/>
  <c r="X62" i="16"/>
  <c r="X63" i="16" l="1"/>
  <c r="Y62" i="16"/>
  <c r="Y63" i="16" l="1"/>
  <c r="Z62" i="16"/>
  <c r="AA62" i="16" l="1"/>
  <c r="Z63" i="16"/>
  <c r="AA63" i="16" l="1"/>
  <c r="AB62" i="16"/>
  <c r="AC62" i="16" l="1"/>
  <c r="AB63" i="16"/>
  <c r="AC63" i="16" l="1"/>
  <c r="AD62" i="16"/>
  <c r="AE62" i="16" l="1"/>
  <c r="AD63" i="16"/>
  <c r="AF62" i="16" l="1"/>
  <c r="AE63" i="16"/>
  <c r="AF63" i="16" l="1"/>
  <c r="AG62" i="16"/>
  <c r="AG63" i="16" l="1"/>
  <c r="AH62" i="16"/>
  <c r="AH63" i="16" l="1"/>
  <c r="AI62" i="16"/>
  <c r="AI63" i="16" l="1"/>
  <c r="AJ62" i="16"/>
  <c r="AJ63" i="16" l="1"/>
  <c r="AK62" i="16"/>
  <c r="AK63" i="16" l="1"/>
  <c r="AL62" i="16"/>
  <c r="AL63" i="16" l="1"/>
  <c r="AM62" i="16"/>
  <c r="AM63" i="16" l="1"/>
  <c r="AN62" i="16"/>
  <c r="AN63" i="16" l="1"/>
  <c r="AO62" i="16"/>
  <c r="AO63" i="16" s="1"/>
  <c r="J32" i="14" l="1"/>
  <c r="K32" i="14" s="1"/>
  <c r="L32" i="14" s="1"/>
  <c r="M32" i="14" s="1"/>
  <c r="N32" i="14" s="1"/>
  <c r="J31" i="14"/>
  <c r="K31" i="14" s="1"/>
  <c r="L31" i="14" s="1"/>
  <c r="M31" i="14" s="1"/>
  <c r="N31" i="14" s="1"/>
  <c r="M135" i="6" l="1"/>
  <c r="M137" i="6"/>
  <c r="M138" i="6"/>
  <c r="N135" i="6" l="1"/>
  <c r="N138" i="6"/>
  <c r="N41" i="6"/>
  <c r="N108" i="6" s="1"/>
  <c r="O41" i="6"/>
  <c r="O108" i="6" s="1"/>
  <c r="M41" i="6"/>
  <c r="M108" i="6" s="1"/>
  <c r="N18" i="5" l="1"/>
  <c r="M18" i="5"/>
  <c r="N127" i="5" l="1"/>
  <c r="M127" i="5"/>
  <c r="O97" i="5"/>
  <c r="P97" i="5" s="1"/>
  <c r="Q97" i="5" s="1"/>
  <c r="R97" i="5" s="1"/>
  <c r="S97" i="5" s="1"/>
  <c r="T97" i="5" s="1"/>
  <c r="U97" i="5" s="1"/>
  <c r="V97" i="5" s="1"/>
  <c r="W97" i="5" s="1"/>
  <c r="X97" i="5" s="1"/>
  <c r="Y97" i="5" s="1"/>
  <c r="Z97" i="5" s="1"/>
  <c r="AA97" i="5" s="1"/>
  <c r="AB97" i="5" s="1"/>
  <c r="AC97" i="5" s="1"/>
  <c r="AD97" i="5" s="1"/>
  <c r="AE97" i="5" s="1"/>
  <c r="AF97" i="5" s="1"/>
  <c r="AG97" i="5" s="1"/>
  <c r="AH97" i="5" s="1"/>
  <c r="AI97" i="5" s="1"/>
  <c r="AI29" i="5" s="1"/>
  <c r="O127" i="5" l="1"/>
  <c r="R129" i="5"/>
  <c r="O80" i="5"/>
  <c r="M81" i="5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E81" i="5" s="1"/>
  <c r="AF81" i="5" s="1"/>
  <c r="AG81" i="5" s="1"/>
  <c r="AH81" i="5" s="1"/>
  <c r="AI81" i="5" s="1"/>
  <c r="AI13" i="5" s="1"/>
  <c r="M98" i="5"/>
  <c r="N98" i="5" s="1"/>
  <c r="O98" i="5" s="1"/>
  <c r="N96" i="5"/>
  <c r="O96" i="5" s="1"/>
  <c r="N95" i="5"/>
  <c r="O95" i="5" s="1"/>
  <c r="I85" i="5"/>
  <c r="I86" i="5"/>
  <c r="C85" i="5"/>
  <c r="C86" i="5"/>
  <c r="M12" i="5"/>
  <c r="N12" i="5"/>
  <c r="M79" i="5" l="1"/>
  <c r="O79" i="5"/>
  <c r="N79" i="5"/>
  <c r="S129" i="5"/>
  <c r="F8" i="17"/>
  <c r="G8" i="17" s="1"/>
  <c r="E8" i="17"/>
  <c r="D8" i="17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H82" i="16"/>
  <c r="I82" i="16"/>
  <c r="O70" i="6" s="1"/>
  <c r="J82" i="16"/>
  <c r="K82" i="16"/>
  <c r="L82" i="16"/>
  <c r="G82" i="16"/>
  <c r="H49" i="16"/>
  <c r="G49" i="16"/>
  <c r="G51" i="16"/>
  <c r="H50" i="14"/>
  <c r="G50" i="14"/>
  <c r="H49" i="14"/>
  <c r="G49" i="14"/>
  <c r="M93" i="5" s="1"/>
  <c r="H62" i="16"/>
  <c r="G62" i="16"/>
  <c r="G69" i="16"/>
  <c r="H69" i="16" s="1"/>
  <c r="H46" i="16"/>
  <c r="H50" i="16" s="1"/>
  <c r="G46" i="16"/>
  <c r="G50" i="16" s="1"/>
  <c r="G56" i="14" l="1"/>
  <c r="M85" i="5"/>
  <c r="H56" i="14"/>
  <c r="N85" i="5"/>
  <c r="G56" i="16"/>
  <c r="M17" i="5"/>
  <c r="G64" i="16"/>
  <c r="N93" i="5"/>
  <c r="N94" i="5" s="1"/>
  <c r="M94" i="5"/>
  <c r="T129" i="5"/>
  <c r="G65" i="16"/>
  <c r="H65" i="16"/>
  <c r="G55" i="16" l="1"/>
  <c r="H56" i="16"/>
  <c r="N17" i="5"/>
  <c r="U129" i="5"/>
  <c r="H64" i="16"/>
  <c r="H55" i="16"/>
  <c r="V129" i="5" l="1"/>
  <c r="W129" i="5" l="1"/>
  <c r="X129" i="5" l="1"/>
  <c r="Y129" i="5" l="1"/>
  <c r="Z129" i="5" l="1"/>
  <c r="AA129" i="5" l="1"/>
  <c r="AB129" i="5" l="1"/>
  <c r="AC129" i="5" l="1"/>
  <c r="AD129" i="5" l="1"/>
  <c r="AE129" i="5" l="1"/>
  <c r="AF129" i="5" l="1"/>
  <c r="AG129" i="5" l="1"/>
  <c r="AH129" i="5" l="1"/>
  <c r="AI129" i="5" s="1"/>
  <c r="AJ129" i="5" s="1"/>
  <c r="AK129" i="5" l="1"/>
  <c r="AJ127" i="5"/>
  <c r="H23" i="16"/>
  <c r="G23" i="16"/>
  <c r="H20" i="16"/>
  <c r="H21" i="16"/>
  <c r="G21" i="16"/>
  <c r="G20" i="16"/>
  <c r="H17" i="16"/>
  <c r="G17" i="16"/>
  <c r="G34" i="16"/>
  <c r="G12" i="16" s="1"/>
  <c r="G32" i="16"/>
  <c r="G31" i="16"/>
  <c r="H55" i="14"/>
  <c r="H65" i="14"/>
  <c r="G65" i="14"/>
  <c r="G70" i="14"/>
  <c r="H70" i="14" s="1"/>
  <c r="J70" i="14" s="1"/>
  <c r="J23" i="14"/>
  <c r="K23" i="14" s="1"/>
  <c r="L23" i="14" s="1"/>
  <c r="M23" i="14" s="1"/>
  <c r="N23" i="14" s="1"/>
  <c r="O23" i="14" s="1"/>
  <c r="P23" i="14" s="1"/>
  <c r="Q23" i="14" s="1"/>
  <c r="R23" i="14" s="1"/>
  <c r="S23" i="14" s="1"/>
  <c r="T23" i="14" s="1"/>
  <c r="U23" i="14" s="1"/>
  <c r="V23" i="14" s="1"/>
  <c r="W23" i="14" s="1"/>
  <c r="X23" i="14" s="1"/>
  <c r="Y23" i="14" s="1"/>
  <c r="Z23" i="14" s="1"/>
  <c r="AA23" i="14" s="1"/>
  <c r="AB23" i="14" s="1"/>
  <c r="AC23" i="14" s="1"/>
  <c r="AD23" i="14" s="1"/>
  <c r="AE23" i="14" s="1"/>
  <c r="AF23" i="14" s="1"/>
  <c r="AG23" i="14" s="1"/>
  <c r="AH23" i="14" s="1"/>
  <c r="AI23" i="14" s="1"/>
  <c r="AJ23" i="14" s="1"/>
  <c r="AK23" i="14" s="1"/>
  <c r="AL23" i="14" s="1"/>
  <c r="AM23" i="14" s="1"/>
  <c r="AN23" i="14" s="1"/>
  <c r="AO23" i="14" s="1"/>
  <c r="G12" i="14"/>
  <c r="G33" i="14"/>
  <c r="G16" i="14" s="1"/>
  <c r="AL129" i="5" l="1"/>
  <c r="AK127" i="5"/>
  <c r="G33" i="16"/>
  <c r="G16" i="16" s="1"/>
  <c r="K70" i="14"/>
  <c r="J71" i="14"/>
  <c r="H35" i="16"/>
  <c r="I32" i="16"/>
  <c r="H64" i="14"/>
  <c r="G64" i="14"/>
  <c r="G55" i="14"/>
  <c r="H32" i="16"/>
  <c r="J23" i="16"/>
  <c r="K23" i="16"/>
  <c r="L23" i="16" s="1"/>
  <c r="M23" i="16" s="1"/>
  <c r="N23" i="16" s="1"/>
  <c r="I31" i="16"/>
  <c r="J31" i="16"/>
  <c r="I23" i="16"/>
  <c r="H31" i="16"/>
  <c r="J32" i="16"/>
  <c r="N33" i="14"/>
  <c r="N16" i="14" s="1"/>
  <c r="M33" i="14"/>
  <c r="M16" i="14" s="1"/>
  <c r="I33" i="14"/>
  <c r="L33" i="14"/>
  <c r="L16" i="14" s="1"/>
  <c r="H33" i="14"/>
  <c r="H16" i="14" s="1"/>
  <c r="K33" i="14"/>
  <c r="K16" i="14" s="1"/>
  <c r="J33" i="14"/>
  <c r="J16" i="14" s="1"/>
  <c r="AM129" i="5" l="1"/>
  <c r="AL127" i="5"/>
  <c r="I33" i="16"/>
  <c r="I16" i="16" s="1"/>
  <c r="L70" i="14"/>
  <c r="K71" i="14"/>
  <c r="I34" i="14"/>
  <c r="I16" i="14"/>
  <c r="J33" i="16"/>
  <c r="J16" i="16" s="1"/>
  <c r="H33" i="16"/>
  <c r="H16" i="16" s="1"/>
  <c r="AN129" i="5" l="1"/>
  <c r="AM127" i="5"/>
  <c r="M70" i="14"/>
  <c r="L71" i="14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O79" i="1"/>
  <c r="O78" i="1"/>
  <c r="R77" i="1"/>
  <c r="AO129" i="5" l="1"/>
  <c r="AN127" i="5"/>
  <c r="Q64" i="5"/>
  <c r="Q132" i="5" s="1"/>
  <c r="P64" i="5"/>
  <c r="P132" i="5" s="1"/>
  <c r="N70" i="14"/>
  <c r="M71" i="14"/>
  <c r="AK77" i="1"/>
  <c r="U77" i="1"/>
  <c r="AW77" i="1"/>
  <c r="AG77" i="1"/>
  <c r="Q77" i="1"/>
  <c r="Q94" i="5" s="1"/>
  <c r="AS77" i="1"/>
  <c r="AC77" i="1"/>
  <c r="AO77" i="1"/>
  <c r="Y77" i="1"/>
  <c r="AV77" i="1"/>
  <c r="AR77" i="1"/>
  <c r="AN77" i="1"/>
  <c r="AJ77" i="1"/>
  <c r="AF77" i="1"/>
  <c r="AB77" i="1"/>
  <c r="X77" i="1"/>
  <c r="T77" i="1"/>
  <c r="P77" i="1"/>
  <c r="P94" i="5" s="1"/>
  <c r="AY77" i="1"/>
  <c r="AU77" i="1"/>
  <c r="AQ77" i="1"/>
  <c r="AM77" i="1"/>
  <c r="AI77" i="1"/>
  <c r="AE77" i="1"/>
  <c r="AA77" i="1"/>
  <c r="W77" i="1"/>
  <c r="S77" i="1"/>
  <c r="O77" i="1"/>
  <c r="AX77" i="1"/>
  <c r="AT77" i="1"/>
  <c r="AP77" i="1"/>
  <c r="AL77" i="1"/>
  <c r="AH77" i="1"/>
  <c r="AD77" i="1"/>
  <c r="Z77" i="1"/>
  <c r="V77" i="1"/>
  <c r="O83" i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P129" i="5" l="1"/>
  <c r="AO127" i="5"/>
  <c r="O70" i="14"/>
  <c r="N71" i="14"/>
  <c r="O86" i="5"/>
  <c r="O18" i="5" s="1"/>
  <c r="C134" i="6"/>
  <c r="AQ129" i="5" l="1"/>
  <c r="AP127" i="5"/>
  <c r="P70" i="14"/>
  <c r="O71" i="14"/>
  <c r="P86" i="5"/>
  <c r="P18" i="5" s="1"/>
  <c r="K72" i="1"/>
  <c r="O72" i="1" s="1"/>
  <c r="N38" i="21"/>
  <c r="AR129" i="5" l="1"/>
  <c r="AQ127" i="5"/>
  <c r="O84" i="5"/>
  <c r="O40" i="5"/>
  <c r="O44" i="5" s="1"/>
  <c r="O53" i="5" s="1"/>
  <c r="Q70" i="14"/>
  <c r="P71" i="14"/>
  <c r="Q86" i="5"/>
  <c r="Q18" i="5" s="1"/>
  <c r="P72" i="1"/>
  <c r="N55" i="21"/>
  <c r="N51" i="21"/>
  <c r="N47" i="21"/>
  <c r="N43" i="21"/>
  <c r="N39" i="21"/>
  <c r="N53" i="21"/>
  <c r="N49" i="21"/>
  <c r="N45" i="21"/>
  <c r="N41" i="21"/>
  <c r="N37" i="21"/>
  <c r="N52" i="21"/>
  <c r="N48" i="21"/>
  <c r="N44" i="21"/>
  <c r="N40" i="21"/>
  <c r="N54" i="21"/>
  <c r="N50" i="21"/>
  <c r="N46" i="21"/>
  <c r="N42" i="21"/>
  <c r="AS129" i="5" l="1"/>
  <c r="AS127" i="5" s="1"/>
  <c r="AR127" i="5"/>
  <c r="P84" i="5"/>
  <c r="P16" i="5" s="1"/>
  <c r="P40" i="5"/>
  <c r="P108" i="5" s="1"/>
  <c r="R70" i="14"/>
  <c r="Q71" i="14"/>
  <c r="R86" i="5"/>
  <c r="R18" i="5" s="1"/>
  <c r="K9" i="8"/>
  <c r="S70" i="14" l="1"/>
  <c r="R71" i="14"/>
  <c r="S86" i="5"/>
  <c r="S18" i="5" s="1"/>
  <c r="D37" i="11"/>
  <c r="D35" i="11"/>
  <c r="D34" i="11"/>
  <c r="D33" i="11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P76" i="8"/>
  <c r="T70" i="14" l="1"/>
  <c r="S71" i="14"/>
  <c r="T86" i="5"/>
  <c r="T18" i="5" s="1"/>
  <c r="C34" i="11"/>
  <c r="U70" i="14" l="1"/>
  <c r="T71" i="14"/>
  <c r="U86" i="5"/>
  <c r="U18" i="5" s="1"/>
  <c r="C36" i="11" l="1"/>
  <c r="C37" i="11" s="1"/>
  <c r="V70" i="14"/>
  <c r="U71" i="14"/>
  <c r="V86" i="5"/>
  <c r="V18" i="5" s="1"/>
  <c r="D56" i="11"/>
  <c r="D57" i="11"/>
  <c r="D58" i="11"/>
  <c r="D59" i="11"/>
  <c r="D60" i="11"/>
  <c r="D61" i="11"/>
  <c r="D62" i="11"/>
  <c r="D63" i="11"/>
  <c r="D64" i="11"/>
  <c r="D55" i="11"/>
  <c r="C11" i="11"/>
  <c r="C12" i="11" s="1"/>
  <c r="C13" i="11" s="1"/>
  <c r="C14" i="11" s="1"/>
  <c r="C15" i="11" s="1"/>
  <c r="C17" i="11" s="1"/>
  <c r="C18" i="11" s="1"/>
  <c r="C19" i="11" s="1"/>
  <c r="E25" i="19"/>
  <c r="E26" i="19"/>
  <c r="E27" i="19"/>
  <c r="E28" i="19"/>
  <c r="E29" i="19"/>
  <c r="E24" i="19"/>
  <c r="W70" i="14" l="1"/>
  <c r="V71" i="14"/>
  <c r="W86" i="5"/>
  <c r="W18" i="5" s="1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N91" i="8"/>
  <c r="K86" i="8"/>
  <c r="N84" i="8"/>
  <c r="K79" i="8"/>
  <c r="K73" i="8"/>
  <c r="N19" i="18"/>
  <c r="O19" i="18"/>
  <c r="P19" i="18"/>
  <c r="Q19" i="18"/>
  <c r="R19" i="18"/>
  <c r="S19" i="18"/>
  <c r="T19" i="18"/>
  <c r="U19" i="18"/>
  <c r="V19" i="18"/>
  <c r="W19" i="18"/>
  <c r="X19" i="18"/>
  <c r="M19" i="18"/>
  <c r="X70" i="14" l="1"/>
  <c r="W71" i="14"/>
  <c r="X86" i="5"/>
  <c r="X18" i="5" s="1"/>
  <c r="AH84" i="8"/>
  <c r="AG84" i="8"/>
  <c r="AC84" i="8"/>
  <c r="Y84" i="8"/>
  <c r="U84" i="8"/>
  <c r="AF84" i="8"/>
  <c r="AB84" i="8"/>
  <c r="X84" i="8"/>
  <c r="Z84" i="8"/>
  <c r="AD84" i="8"/>
  <c r="V84" i="8"/>
  <c r="AI84" i="8"/>
  <c r="AE84" i="8"/>
  <c r="AA84" i="8"/>
  <c r="W84" i="8"/>
  <c r="Y70" i="14" l="1"/>
  <c r="X71" i="14"/>
  <c r="Y86" i="5"/>
  <c r="Y18" i="5" s="1"/>
  <c r="B12" i="18"/>
  <c r="B13" i="18" s="1"/>
  <c r="B14" i="18" s="1"/>
  <c r="B15" i="18" s="1"/>
  <c r="B19" i="18" s="1"/>
  <c r="B20" i="18" s="1"/>
  <c r="Z70" i="14" l="1"/>
  <c r="Y71" i="14"/>
  <c r="Z86" i="5"/>
  <c r="Z18" i="5" s="1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P59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P32" i="8"/>
  <c r="C32" i="8"/>
  <c r="AB31" i="8"/>
  <c r="AC31" i="8"/>
  <c r="AD31" i="8"/>
  <c r="AE31" i="8"/>
  <c r="AF31" i="8"/>
  <c r="AG31" i="8"/>
  <c r="AH31" i="8"/>
  <c r="AI31" i="8"/>
  <c r="AB35" i="8"/>
  <c r="AC35" i="8"/>
  <c r="AD35" i="8"/>
  <c r="AE35" i="8"/>
  <c r="AF35" i="8"/>
  <c r="AG35" i="8"/>
  <c r="AH35" i="8"/>
  <c r="AI35" i="8"/>
  <c r="AC69" i="1"/>
  <c r="AD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A70" i="14" l="1"/>
  <c r="Z71" i="14"/>
  <c r="AA86" i="5"/>
  <c r="AA18" i="5" s="1"/>
  <c r="AB70" i="14" l="1"/>
  <c r="AA71" i="14"/>
  <c r="AC83" i="1"/>
  <c r="AB86" i="5"/>
  <c r="AB18" i="5" s="1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M136" i="6"/>
  <c r="AC70" i="14" l="1"/>
  <c r="AB71" i="14"/>
  <c r="AD83" i="1"/>
  <c r="AC86" i="5"/>
  <c r="AC18" i="5" s="1"/>
  <c r="M87" i="6"/>
  <c r="M125" i="6" s="1"/>
  <c r="M119" i="6"/>
  <c r="O117" i="6"/>
  <c r="M117" i="6"/>
  <c r="N98" i="6"/>
  <c r="N134" i="6" s="1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M69" i="6"/>
  <c r="AB70" i="1"/>
  <c r="AD70" i="14" l="1"/>
  <c r="AC71" i="14"/>
  <c r="AE83" i="1"/>
  <c r="AD86" i="5"/>
  <c r="AD18" i="5" s="1"/>
  <c r="M107" i="6"/>
  <c r="M106" i="6" s="1"/>
  <c r="M90" i="6"/>
  <c r="N117" i="6"/>
  <c r="AE70" i="14" l="1"/>
  <c r="AD71" i="14"/>
  <c r="AF83" i="1"/>
  <c r="AE86" i="5"/>
  <c r="AE18" i="5" s="1"/>
  <c r="O135" i="6" l="1"/>
  <c r="O94" i="5"/>
  <c r="AF70" i="14"/>
  <c r="AE71" i="14"/>
  <c r="AG83" i="1"/>
  <c r="AF86" i="5"/>
  <c r="AF18" i="5" s="1"/>
  <c r="AG70" i="14" l="1"/>
  <c r="AF71" i="14"/>
  <c r="AH83" i="1"/>
  <c r="AG86" i="5"/>
  <c r="AG18" i="5" s="1"/>
  <c r="O50" i="6"/>
  <c r="N50" i="6"/>
  <c r="M50" i="6"/>
  <c r="AH70" i="14" l="1"/>
  <c r="AG71" i="14"/>
  <c r="AI83" i="1"/>
  <c r="AH86" i="5"/>
  <c r="AH18" i="5" s="1"/>
  <c r="M52" i="1"/>
  <c r="M37" i="6" s="1"/>
  <c r="AJ83" i="1" l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I86" i="5"/>
  <c r="AI18" i="5" s="1"/>
  <c r="AI70" i="14"/>
  <c r="AH71" i="14"/>
  <c r="M104" i="6"/>
  <c r="M105" i="6" s="1"/>
  <c r="M20" i="6"/>
  <c r="M58" i="6" s="1"/>
  <c r="M52" i="6"/>
  <c r="AJ70" i="14" l="1"/>
  <c r="AI71" i="14"/>
  <c r="N31" i="6"/>
  <c r="N67" i="6" s="1"/>
  <c r="M23" i="6"/>
  <c r="M40" i="6"/>
  <c r="AK70" i="14" l="1"/>
  <c r="AJ71" i="14"/>
  <c r="M39" i="6"/>
  <c r="AL70" i="14" l="1"/>
  <c r="AK71" i="14"/>
  <c r="M38" i="6"/>
  <c r="I33" i="17"/>
  <c r="AM70" i="14" l="1"/>
  <c r="AL71" i="14"/>
  <c r="J9" i="17"/>
  <c r="AN70" i="14" l="1"/>
  <c r="AM71" i="14"/>
  <c r="D4" i="4"/>
  <c r="D4" i="18" s="1"/>
  <c r="AO70" i="14" l="1"/>
  <c r="AO71" i="14" s="1"/>
  <c r="AN71" i="14"/>
  <c r="O5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N27" i="5"/>
  <c r="N28" i="5"/>
  <c r="N29" i="5"/>
  <c r="O29" i="5"/>
  <c r="P29" i="5"/>
  <c r="Q29" i="5"/>
  <c r="M28" i="5"/>
  <c r="M29" i="5"/>
  <c r="M27" i="5"/>
  <c r="N25" i="5"/>
  <c r="N26" i="5"/>
  <c r="M26" i="5"/>
  <c r="M25" i="5"/>
  <c r="N22" i="5"/>
  <c r="N23" i="5"/>
  <c r="M23" i="5"/>
  <c r="M22" i="5"/>
  <c r="N19" i="5"/>
  <c r="N20" i="5"/>
  <c r="M20" i="5"/>
  <c r="M19" i="5"/>
  <c r="N16" i="5"/>
  <c r="O16" i="5"/>
  <c r="M16" i="5"/>
  <c r="O12" i="5"/>
  <c r="N13" i="5"/>
  <c r="N11" i="5" s="1"/>
  <c r="O13" i="5"/>
  <c r="M13" i="5"/>
  <c r="M11" i="5" s="1"/>
  <c r="N59" i="5" l="1"/>
  <c r="M59" i="5"/>
  <c r="P127" i="5"/>
  <c r="O11" i="5"/>
  <c r="N24" i="5"/>
  <c r="Q127" i="5"/>
  <c r="R134" i="5"/>
  <c r="S134" i="5" s="1"/>
  <c r="P59" i="5" l="1"/>
  <c r="R128" i="5"/>
  <c r="R127" i="5" s="1"/>
  <c r="R138" i="5"/>
  <c r="Q59" i="5"/>
  <c r="T134" i="5"/>
  <c r="I128" i="5"/>
  <c r="I129" i="5"/>
  <c r="I130" i="5"/>
  <c r="I131" i="5"/>
  <c r="I132" i="5"/>
  <c r="I133" i="5"/>
  <c r="I134" i="5"/>
  <c r="I135" i="5"/>
  <c r="I136" i="5"/>
  <c r="I137" i="5"/>
  <c r="I138" i="5"/>
  <c r="I127" i="5"/>
  <c r="C133" i="5"/>
  <c r="C128" i="5"/>
  <c r="C129" i="5"/>
  <c r="N30" i="5"/>
  <c r="M30" i="5"/>
  <c r="I94" i="5"/>
  <c r="C94" i="5"/>
  <c r="S128" i="5" l="1"/>
  <c r="S127" i="5" s="1"/>
  <c r="P98" i="5"/>
  <c r="O30" i="5"/>
  <c r="R59" i="5"/>
  <c r="P95" i="5"/>
  <c r="O27" i="5"/>
  <c r="R136" i="5"/>
  <c r="S138" i="5"/>
  <c r="P96" i="5"/>
  <c r="O28" i="5"/>
  <c r="U134" i="5"/>
  <c r="P80" i="5"/>
  <c r="P79" i="5" s="1"/>
  <c r="T128" i="5" l="1"/>
  <c r="T127" i="5" s="1"/>
  <c r="S136" i="5"/>
  <c r="S59" i="5"/>
  <c r="Q95" i="5"/>
  <c r="P27" i="5"/>
  <c r="Q96" i="5"/>
  <c r="P28" i="5"/>
  <c r="Q98" i="5"/>
  <c r="P30" i="5"/>
  <c r="T138" i="5"/>
  <c r="Q80" i="5"/>
  <c r="Q79" i="5" s="1"/>
  <c r="P12" i="5"/>
  <c r="P13" i="5"/>
  <c r="V134" i="5"/>
  <c r="U128" i="5" l="1"/>
  <c r="U127" i="5" s="1"/>
  <c r="P11" i="5"/>
  <c r="U138" i="5"/>
  <c r="T59" i="5"/>
  <c r="R98" i="5"/>
  <c r="Q30" i="5"/>
  <c r="R95" i="5"/>
  <c r="Q27" i="5"/>
  <c r="T136" i="5"/>
  <c r="R96" i="5"/>
  <c r="Q28" i="5"/>
  <c r="Q13" i="5"/>
  <c r="R80" i="5"/>
  <c r="R79" i="5" s="1"/>
  <c r="Q12" i="5"/>
  <c r="W134" i="5"/>
  <c r="V128" i="5" l="1"/>
  <c r="V127" i="5" s="1"/>
  <c r="Q11" i="5"/>
  <c r="S98" i="5"/>
  <c r="R30" i="5"/>
  <c r="U59" i="5"/>
  <c r="S96" i="5"/>
  <c r="R28" i="5"/>
  <c r="U136" i="5"/>
  <c r="W128" i="5"/>
  <c r="W127" i="5" s="1"/>
  <c r="S95" i="5"/>
  <c r="R27" i="5"/>
  <c r="V138" i="5"/>
  <c r="R13" i="5"/>
  <c r="S80" i="5"/>
  <c r="S79" i="5" s="1"/>
  <c r="R12" i="5"/>
  <c r="X134" i="5"/>
  <c r="R11" i="5" l="1"/>
  <c r="X128" i="5"/>
  <c r="X127" i="5" s="1"/>
  <c r="T96" i="5"/>
  <c r="S28" i="5"/>
  <c r="V59" i="5"/>
  <c r="T95" i="5"/>
  <c r="S27" i="5"/>
  <c r="W138" i="5"/>
  <c r="V136" i="5"/>
  <c r="T98" i="5"/>
  <c r="S30" i="5"/>
  <c r="S13" i="5"/>
  <c r="T80" i="5"/>
  <c r="T79" i="5" s="1"/>
  <c r="S12" i="5"/>
  <c r="Y134" i="5"/>
  <c r="S11" i="5" l="1"/>
  <c r="X138" i="5"/>
  <c r="W136" i="5"/>
  <c r="Y128" i="5"/>
  <c r="Y127" i="5" s="1"/>
  <c r="U98" i="5"/>
  <c r="T30" i="5"/>
  <c r="U96" i="5"/>
  <c r="T28" i="5"/>
  <c r="W59" i="5"/>
  <c r="U95" i="5"/>
  <c r="T27" i="5"/>
  <c r="U80" i="5"/>
  <c r="U79" i="5" s="1"/>
  <c r="T12" i="5"/>
  <c r="T13" i="5"/>
  <c r="Z134" i="5"/>
  <c r="T11" i="5" l="1"/>
  <c r="Z128" i="5"/>
  <c r="Z127" i="5" s="1"/>
  <c r="V95" i="5"/>
  <c r="U27" i="5"/>
  <c r="V96" i="5"/>
  <c r="U28" i="5"/>
  <c r="X136" i="5"/>
  <c r="X59" i="5"/>
  <c r="Y138" i="5"/>
  <c r="V98" i="5"/>
  <c r="U30" i="5"/>
  <c r="U13" i="5"/>
  <c r="V80" i="5"/>
  <c r="V79" i="5" s="1"/>
  <c r="U12" i="5"/>
  <c r="AA134" i="5"/>
  <c r="U11" i="5" l="1"/>
  <c r="W95" i="5"/>
  <c r="V27" i="5"/>
  <c r="W98" i="5"/>
  <c r="V30" i="5"/>
  <c r="W96" i="5"/>
  <c r="V28" i="5"/>
  <c r="Y59" i="5"/>
  <c r="Z138" i="5"/>
  <c r="Y136" i="5"/>
  <c r="AA128" i="5"/>
  <c r="AA127" i="5" s="1"/>
  <c r="W80" i="5"/>
  <c r="W79" i="5" s="1"/>
  <c r="V12" i="5"/>
  <c r="V13" i="5"/>
  <c r="AB134" i="5"/>
  <c r="V11" i="5" l="1"/>
  <c r="Z59" i="5"/>
  <c r="X95" i="5"/>
  <c r="W27" i="5"/>
  <c r="X96" i="5"/>
  <c r="W28" i="5"/>
  <c r="Z136" i="5"/>
  <c r="X98" i="5"/>
  <c r="W30" i="5"/>
  <c r="AB128" i="5"/>
  <c r="AB127" i="5" s="1"/>
  <c r="AA138" i="5"/>
  <c r="W13" i="5"/>
  <c r="X80" i="5"/>
  <c r="X79" i="5" s="1"/>
  <c r="W12" i="5"/>
  <c r="AC134" i="5"/>
  <c r="W11" i="5" l="1"/>
  <c r="Y95" i="5"/>
  <c r="X27" i="5"/>
  <c r="AC128" i="5"/>
  <c r="AC127" i="5" s="1"/>
  <c r="Y98" i="5"/>
  <c r="X30" i="5"/>
  <c r="AB138" i="5"/>
  <c r="AA136" i="5"/>
  <c r="Y96" i="5"/>
  <c r="X28" i="5"/>
  <c r="AA59" i="5"/>
  <c r="Y80" i="5"/>
  <c r="Y79" i="5" s="1"/>
  <c r="X12" i="5"/>
  <c r="X13" i="5"/>
  <c r="AD134" i="5"/>
  <c r="X11" i="5" l="1"/>
  <c r="AD128" i="5"/>
  <c r="AD127" i="5" s="1"/>
  <c r="Z96" i="5"/>
  <c r="Y28" i="5"/>
  <c r="AB59" i="5"/>
  <c r="AB136" i="5"/>
  <c r="Z98" i="5"/>
  <c r="Y30" i="5"/>
  <c r="AC138" i="5"/>
  <c r="Z95" i="5"/>
  <c r="Y27" i="5"/>
  <c r="Y13" i="5"/>
  <c r="Z80" i="5"/>
  <c r="Z79" i="5" s="1"/>
  <c r="Y12" i="5"/>
  <c r="AE134" i="5"/>
  <c r="Y11" i="5" l="1"/>
  <c r="AA95" i="5"/>
  <c r="Z27" i="5"/>
  <c r="AA96" i="5"/>
  <c r="Z28" i="5"/>
  <c r="AC136" i="5"/>
  <c r="AA98" i="5"/>
  <c r="Z30" i="5"/>
  <c r="AD138" i="5"/>
  <c r="AC59" i="5"/>
  <c r="AE128" i="5"/>
  <c r="AE127" i="5" s="1"/>
  <c r="AA80" i="5"/>
  <c r="AA79" i="5" s="1"/>
  <c r="Z12" i="5"/>
  <c r="Z13" i="5"/>
  <c r="AF134" i="5"/>
  <c r="Z11" i="5" l="1"/>
  <c r="AB96" i="5"/>
  <c r="AA28" i="5"/>
  <c r="AB95" i="5"/>
  <c r="AA27" i="5"/>
  <c r="AF128" i="5"/>
  <c r="AF127" i="5" s="1"/>
  <c r="AB98" i="5"/>
  <c r="AA30" i="5"/>
  <c r="AE138" i="5"/>
  <c r="AD59" i="5"/>
  <c r="AD136" i="5"/>
  <c r="AA13" i="5"/>
  <c r="AB80" i="5"/>
  <c r="AB79" i="5" s="1"/>
  <c r="AA12" i="5"/>
  <c r="AG134" i="5"/>
  <c r="AA11" i="5" l="1"/>
  <c r="AE136" i="5"/>
  <c r="AG128" i="5"/>
  <c r="AG127" i="5" s="1"/>
  <c r="AC98" i="5"/>
  <c r="AB30" i="5"/>
  <c r="AC96" i="5"/>
  <c r="AB28" i="5"/>
  <c r="AC95" i="5"/>
  <c r="AB27" i="5"/>
  <c r="AE59" i="5"/>
  <c r="AF138" i="5"/>
  <c r="AC80" i="5"/>
  <c r="AC79" i="5" s="1"/>
  <c r="AB12" i="5"/>
  <c r="AB13" i="5"/>
  <c r="AH134" i="5"/>
  <c r="AI134" i="5" s="1"/>
  <c r="AB11" i="5" l="1"/>
  <c r="AG138" i="5"/>
  <c r="AD95" i="5"/>
  <c r="AC27" i="5"/>
  <c r="AF59" i="5"/>
  <c r="AD96" i="5"/>
  <c r="AC28" i="5"/>
  <c r="AF136" i="5"/>
  <c r="AD98" i="5"/>
  <c r="AC30" i="5"/>
  <c r="AH128" i="5"/>
  <c r="AD80" i="5"/>
  <c r="AD79" i="5" s="1"/>
  <c r="AC12" i="5"/>
  <c r="AC13" i="5"/>
  <c r="AH127" i="5" l="1"/>
  <c r="AI128" i="5"/>
  <c r="AC11" i="5"/>
  <c r="AE98" i="5"/>
  <c r="AD30" i="5"/>
  <c r="AG136" i="5"/>
  <c r="AG59" i="5"/>
  <c r="AE95" i="5"/>
  <c r="AD27" i="5"/>
  <c r="AH138" i="5"/>
  <c r="AI138" i="5" s="1"/>
  <c r="AE96" i="5"/>
  <c r="AD28" i="5"/>
  <c r="AD13" i="5"/>
  <c r="AE80" i="5"/>
  <c r="AE79" i="5" s="1"/>
  <c r="AD12" i="5"/>
  <c r="AD11" i="5" l="1"/>
  <c r="AI127" i="5"/>
  <c r="AI59" i="5"/>
  <c r="AH59" i="5"/>
  <c r="AH136" i="5"/>
  <c r="AI136" i="5" s="1"/>
  <c r="AF98" i="5"/>
  <c r="AE30" i="5"/>
  <c r="AF96" i="5"/>
  <c r="AE28" i="5"/>
  <c r="AF95" i="5"/>
  <c r="AE27" i="5"/>
  <c r="AF80" i="5"/>
  <c r="AF79" i="5" s="1"/>
  <c r="AE12" i="5"/>
  <c r="AE13" i="5"/>
  <c r="AE11" i="5" l="1"/>
  <c r="AG95" i="5"/>
  <c r="AF27" i="5"/>
  <c r="AG98" i="5"/>
  <c r="AF30" i="5"/>
  <c r="AG96" i="5"/>
  <c r="AF28" i="5"/>
  <c r="AG80" i="5"/>
  <c r="AG79" i="5" s="1"/>
  <c r="AF12" i="5"/>
  <c r="AF13" i="5"/>
  <c r="AF11" i="5" l="1"/>
  <c r="AH95" i="5"/>
  <c r="AI95" i="5" s="1"/>
  <c r="AI27" i="5" s="1"/>
  <c r="AG27" i="5"/>
  <c r="AH96" i="5"/>
  <c r="AI96" i="5" s="1"/>
  <c r="AI28" i="5" s="1"/>
  <c r="AG28" i="5"/>
  <c r="AH98" i="5"/>
  <c r="AI98" i="5" s="1"/>
  <c r="AI30" i="5" s="1"/>
  <c r="AG30" i="5"/>
  <c r="AG13" i="5"/>
  <c r="AH80" i="5"/>
  <c r="AG12" i="5"/>
  <c r="AH79" i="5" l="1"/>
  <c r="AI80" i="5"/>
  <c r="AG11" i="5"/>
  <c r="AH28" i="5"/>
  <c r="AH27" i="5"/>
  <c r="AH30" i="5"/>
  <c r="AH12" i="5"/>
  <c r="AH13" i="5"/>
  <c r="AI79" i="5" l="1"/>
  <c r="AI12" i="5"/>
  <c r="AI11" i="5" s="1"/>
  <c r="AH11" i="5"/>
  <c r="I88" i="5"/>
  <c r="C88" i="5"/>
  <c r="I80" i="5"/>
  <c r="I81" i="5"/>
  <c r="C80" i="5"/>
  <c r="C81" i="5"/>
  <c r="B12" i="5"/>
  <c r="B13" i="5" s="1"/>
  <c r="B14" i="5" s="1"/>
  <c r="B15" i="5" s="1"/>
  <c r="B16" i="5" s="1"/>
  <c r="M130" i="5"/>
  <c r="M139" i="5" s="1"/>
  <c r="N92" i="5"/>
  <c r="M92" i="5"/>
  <c r="N89" i="5"/>
  <c r="M89" i="5"/>
  <c r="C137" i="5"/>
  <c r="C138" i="5"/>
  <c r="C130" i="5"/>
  <c r="C131" i="5"/>
  <c r="C132" i="5"/>
  <c r="C134" i="5"/>
  <c r="C135" i="5"/>
  <c r="C136" i="5"/>
  <c r="C127" i="5"/>
  <c r="I82" i="5"/>
  <c r="I83" i="5"/>
  <c r="I84" i="5"/>
  <c r="I87" i="5"/>
  <c r="I89" i="5"/>
  <c r="I90" i="5"/>
  <c r="I91" i="5"/>
  <c r="I92" i="5"/>
  <c r="I93" i="5"/>
  <c r="I95" i="5"/>
  <c r="I96" i="5"/>
  <c r="I97" i="5"/>
  <c r="I98" i="5"/>
  <c r="I79" i="5"/>
  <c r="C96" i="5"/>
  <c r="C97" i="5"/>
  <c r="C98" i="5"/>
  <c r="C95" i="5"/>
  <c r="C93" i="5"/>
  <c r="C92" i="5"/>
  <c r="C91" i="5"/>
  <c r="C90" i="5"/>
  <c r="C89" i="5"/>
  <c r="C82" i="5"/>
  <c r="C83" i="5"/>
  <c r="C84" i="5"/>
  <c r="C87" i="5"/>
  <c r="C79" i="5"/>
  <c r="M24" i="5"/>
  <c r="N21" i="5"/>
  <c r="M21" i="5"/>
  <c r="M62" i="5"/>
  <c r="M71" i="5" s="1"/>
  <c r="B17" i="5" l="1"/>
  <c r="B18" i="5" s="1"/>
  <c r="B19" i="5" s="1"/>
  <c r="B20" i="5" s="1"/>
  <c r="B21" i="5" s="1"/>
  <c r="B22" i="5" s="1"/>
  <c r="B23" i="5" s="1"/>
  <c r="B24" i="5" s="1"/>
  <c r="B25" i="5" l="1"/>
  <c r="B26" i="5" s="1"/>
  <c r="B27" i="5" s="1"/>
  <c r="B28" i="5" s="1"/>
  <c r="B29" i="5" s="1"/>
  <c r="B30" i="5" s="1"/>
  <c r="M11" i="4" l="1"/>
  <c r="I56" i="11" s="1"/>
  <c r="M13" i="4"/>
  <c r="I58" i="11" s="1"/>
  <c r="S10" i="4"/>
  <c r="H55" i="11" s="1"/>
  <c r="S11" i="4"/>
  <c r="H56" i="11" s="1"/>
  <c r="S12" i="4"/>
  <c r="H57" i="11" s="1"/>
  <c r="S13" i="4"/>
  <c r="H58" i="11" s="1"/>
  <c r="S14" i="4"/>
  <c r="H59" i="11" s="1"/>
  <c r="S15" i="4"/>
  <c r="H60" i="11" s="1"/>
  <c r="S16" i="4"/>
  <c r="H61" i="11" s="1"/>
  <c r="O18" i="4"/>
  <c r="N18" i="4"/>
  <c r="T18" i="4"/>
  <c r="U18" i="4"/>
  <c r="T4" i="4"/>
  <c r="O4" i="4"/>
  <c r="U4" i="4" s="1"/>
  <c r="C72" i="17"/>
  <c r="E71" i="17"/>
  <c r="F71" i="17" s="1"/>
  <c r="G71" i="17" s="1"/>
  <c r="D71" i="17"/>
  <c r="E70" i="17"/>
  <c r="D70" i="17"/>
  <c r="E67" i="17"/>
  <c r="F67" i="17" s="1"/>
  <c r="G67" i="17" s="1"/>
  <c r="D67" i="17"/>
  <c r="E65" i="17"/>
  <c r="D65" i="17"/>
  <c r="F64" i="17"/>
  <c r="G64" i="17" s="1"/>
  <c r="D64" i="17"/>
  <c r="F63" i="17"/>
  <c r="G63" i="17" s="1"/>
  <c r="D63" i="17"/>
  <c r="G62" i="17"/>
  <c r="F62" i="17"/>
  <c r="D62" i="17"/>
  <c r="E61" i="17"/>
  <c r="F61" i="17" s="1"/>
  <c r="G61" i="17" s="1"/>
  <c r="D61" i="17"/>
  <c r="C60" i="17"/>
  <c r="E59" i="17"/>
  <c r="F59" i="17" s="1"/>
  <c r="D59" i="17"/>
  <c r="E58" i="17"/>
  <c r="F58" i="17" s="1"/>
  <c r="G58" i="17" s="1"/>
  <c r="D58" i="17"/>
  <c r="D57" i="17"/>
  <c r="C57" i="17"/>
  <c r="E54" i="17"/>
  <c r="F54" i="17" s="1"/>
  <c r="G54" i="17" s="1"/>
  <c r="D54" i="17"/>
  <c r="E53" i="17"/>
  <c r="F53" i="17" s="1"/>
  <c r="G53" i="17" s="1"/>
  <c r="D53" i="17"/>
  <c r="E52" i="17"/>
  <c r="F52" i="17" s="1"/>
  <c r="G52" i="17" s="1"/>
  <c r="D52" i="17"/>
  <c r="E51" i="17"/>
  <c r="F51" i="17" s="1"/>
  <c r="G51" i="17" s="1"/>
  <c r="D51" i="17"/>
  <c r="E50" i="17"/>
  <c r="F50" i="17" s="1"/>
  <c r="G50" i="17" s="1"/>
  <c r="D50" i="17"/>
  <c r="E49" i="17"/>
  <c r="F49" i="17" s="1"/>
  <c r="G49" i="17" s="1"/>
  <c r="D49" i="17"/>
  <c r="E48" i="17"/>
  <c r="F48" i="17" s="1"/>
  <c r="G48" i="17" s="1"/>
  <c r="D48" i="17"/>
  <c r="D44" i="17" s="1"/>
  <c r="E47" i="17"/>
  <c r="F47" i="17" s="1"/>
  <c r="G47" i="17" s="1"/>
  <c r="D47" i="17"/>
  <c r="E46" i="17"/>
  <c r="F46" i="17" s="1"/>
  <c r="G46" i="17" s="1"/>
  <c r="D46" i="17"/>
  <c r="E45" i="17"/>
  <c r="F45" i="17" s="1"/>
  <c r="D45" i="17"/>
  <c r="C44" i="17"/>
  <c r="C55" i="17" s="1"/>
  <c r="E41" i="17"/>
  <c r="F41" i="17" s="1"/>
  <c r="G41" i="17" s="1"/>
  <c r="D41" i="17"/>
  <c r="E40" i="17"/>
  <c r="F40" i="17" s="1"/>
  <c r="G40" i="17" s="1"/>
  <c r="D40" i="17"/>
  <c r="E39" i="17"/>
  <c r="F39" i="17" s="1"/>
  <c r="G39" i="17" s="1"/>
  <c r="D39" i="17"/>
  <c r="E38" i="17"/>
  <c r="F38" i="17" s="1"/>
  <c r="D38" i="17"/>
  <c r="D37" i="17" s="1"/>
  <c r="C37" i="17"/>
  <c r="C36" i="17" s="1"/>
  <c r="F35" i="17"/>
  <c r="G35" i="17" s="1"/>
  <c r="D35" i="17"/>
  <c r="E34" i="17"/>
  <c r="F34" i="17" s="1"/>
  <c r="G34" i="17" s="1"/>
  <c r="D34" i="17"/>
  <c r="E33" i="17"/>
  <c r="F33" i="17" s="1"/>
  <c r="D33" i="17"/>
  <c r="D32" i="17" s="1"/>
  <c r="C32" i="17"/>
  <c r="E31" i="17"/>
  <c r="F31" i="17" s="1"/>
  <c r="G31" i="17" s="1"/>
  <c r="D31" i="17"/>
  <c r="E30" i="17"/>
  <c r="F30" i="17" s="1"/>
  <c r="G30" i="17" s="1"/>
  <c r="D30" i="17"/>
  <c r="E29" i="17"/>
  <c r="F29" i="17" s="1"/>
  <c r="G29" i="17" s="1"/>
  <c r="D29" i="17"/>
  <c r="E28" i="17"/>
  <c r="F28" i="17" s="1"/>
  <c r="G28" i="17" s="1"/>
  <c r="D28" i="17"/>
  <c r="E27" i="17"/>
  <c r="F27" i="17" s="1"/>
  <c r="G27" i="17" s="1"/>
  <c r="D27" i="17"/>
  <c r="E26" i="17"/>
  <c r="F26" i="17" s="1"/>
  <c r="G26" i="17" s="1"/>
  <c r="D26" i="17"/>
  <c r="E25" i="17"/>
  <c r="F25" i="17" s="1"/>
  <c r="D25" i="17"/>
  <c r="C24" i="17"/>
  <c r="E23" i="17"/>
  <c r="F23" i="17" s="1"/>
  <c r="G23" i="17" s="1"/>
  <c r="D23" i="17"/>
  <c r="F22" i="17"/>
  <c r="G22" i="17" s="1"/>
  <c r="E22" i="17"/>
  <c r="D22" i="17"/>
  <c r="E21" i="17"/>
  <c r="F21" i="17" s="1"/>
  <c r="G21" i="17" s="1"/>
  <c r="D21" i="17"/>
  <c r="E20" i="17"/>
  <c r="F20" i="17" s="1"/>
  <c r="G20" i="17" s="1"/>
  <c r="D20" i="17"/>
  <c r="E19" i="17"/>
  <c r="F19" i="17" s="1"/>
  <c r="G19" i="17" s="1"/>
  <c r="D19" i="17"/>
  <c r="E18" i="17"/>
  <c r="E17" i="17" s="1"/>
  <c r="D18" i="17"/>
  <c r="D17" i="17" s="1"/>
  <c r="C17" i="17"/>
  <c r="C15" i="17"/>
  <c r="E14" i="17"/>
  <c r="E15" i="17" s="1"/>
  <c r="D14" i="17"/>
  <c r="D15" i="17" s="1"/>
  <c r="C12" i="17"/>
  <c r="E11" i="17"/>
  <c r="F11" i="17" s="1"/>
  <c r="G11" i="17" s="1"/>
  <c r="D11" i="17"/>
  <c r="E10" i="17"/>
  <c r="F10" i="17" s="1"/>
  <c r="G10" i="17" s="1"/>
  <c r="D10" i="17"/>
  <c r="E9" i="17"/>
  <c r="F9" i="17" s="1"/>
  <c r="D9" i="17"/>
  <c r="D12" i="17"/>
  <c r="E7" i="17"/>
  <c r="D7" i="17"/>
  <c r="Q58" i="8" l="1"/>
  <c r="Q15" i="8"/>
  <c r="R58" i="8"/>
  <c r="R15" i="8"/>
  <c r="U19" i="4"/>
  <c r="U20" i="4" s="1"/>
  <c r="P4" i="4"/>
  <c r="Q4" i="4" s="1"/>
  <c r="W4" i="4" s="1"/>
  <c r="E72" i="17"/>
  <c r="D55" i="17"/>
  <c r="C74" i="17"/>
  <c r="D36" i="17"/>
  <c r="T19" i="4"/>
  <c r="D24" i="17"/>
  <c r="D42" i="17" s="1"/>
  <c r="D60" i="17"/>
  <c r="D72" i="17"/>
  <c r="R4" i="4"/>
  <c r="X4" i="4" s="1"/>
  <c r="D74" i="17"/>
  <c r="F18" i="17"/>
  <c r="G18" i="17" s="1"/>
  <c r="G17" i="17" s="1"/>
  <c r="E44" i="17"/>
  <c r="E55" i="17" s="1"/>
  <c r="E57" i="17"/>
  <c r="E24" i="17"/>
  <c r="E32" i="17"/>
  <c r="E60" i="17"/>
  <c r="E74" i="17"/>
  <c r="E12" i="17"/>
  <c r="M15" i="4"/>
  <c r="I60" i="11" s="1"/>
  <c r="E37" i="17"/>
  <c r="E36" i="17" s="1"/>
  <c r="O20" i="4"/>
  <c r="M17" i="4"/>
  <c r="I62" i="11" s="1"/>
  <c r="N20" i="4"/>
  <c r="F24" i="17"/>
  <c r="G25" i="17"/>
  <c r="G24" i="17" s="1"/>
  <c r="F37" i="17"/>
  <c r="F36" i="17" s="1"/>
  <c r="G38" i="17"/>
  <c r="G37" i="17" s="1"/>
  <c r="G36" i="17" s="1"/>
  <c r="G9" i="17"/>
  <c r="G33" i="17"/>
  <c r="G32" i="17" s="1"/>
  <c r="F32" i="17"/>
  <c r="C42" i="17"/>
  <c r="F44" i="17"/>
  <c r="F55" i="17" s="1"/>
  <c r="G45" i="17"/>
  <c r="G44" i="17" s="1"/>
  <c r="G55" i="17" s="1"/>
  <c r="F57" i="17"/>
  <c r="G59" i="17"/>
  <c r="G57" i="17" s="1"/>
  <c r="F7" i="17"/>
  <c r="F14" i="17"/>
  <c r="F65" i="17"/>
  <c r="F70" i="17"/>
  <c r="V4" i="4" l="1"/>
  <c r="T20" i="4"/>
  <c r="E42" i="17"/>
  <c r="Q80" i="8"/>
  <c r="Q81" i="8"/>
  <c r="Q82" i="8"/>
  <c r="Q83" i="8"/>
  <c r="P82" i="8"/>
  <c r="P80" i="8"/>
  <c r="P81" i="8"/>
  <c r="P83" i="8"/>
  <c r="F17" i="17"/>
  <c r="P18" i="4"/>
  <c r="M10" i="4"/>
  <c r="I55" i="11" s="1"/>
  <c r="X18" i="4"/>
  <c r="M14" i="4"/>
  <c r="I59" i="11" s="1"/>
  <c r="M16" i="4"/>
  <c r="I61" i="11" s="1"/>
  <c r="F42" i="17"/>
  <c r="M19" i="4"/>
  <c r="Q18" i="4"/>
  <c r="G42" i="17"/>
  <c r="S17" i="4"/>
  <c r="H62" i="11" s="1"/>
  <c r="H63" i="11" s="1"/>
  <c r="M12" i="4"/>
  <c r="I57" i="11" s="1"/>
  <c r="F72" i="17"/>
  <c r="G70" i="17"/>
  <c r="G72" i="17" s="1"/>
  <c r="E66" i="17"/>
  <c r="E68" i="17" s="1"/>
  <c r="E73" i="17" s="1"/>
  <c r="D66" i="17"/>
  <c r="D68" i="17" s="1"/>
  <c r="D73" i="17" s="1"/>
  <c r="F12" i="17"/>
  <c r="G7" i="17"/>
  <c r="G12" i="17" s="1"/>
  <c r="C68" i="17"/>
  <c r="C73" i="17" s="1"/>
  <c r="F15" i="17"/>
  <c r="F74" i="17" s="1"/>
  <c r="G14" i="17"/>
  <c r="G15" i="17" s="1"/>
  <c r="G74" i="17" s="1"/>
  <c r="F60" i="17"/>
  <c r="G65" i="17"/>
  <c r="G60" i="17" s="1"/>
  <c r="V19" i="4" l="1"/>
  <c r="W19" i="4" s="1"/>
  <c r="Q84" i="8"/>
  <c r="P84" i="8"/>
  <c r="I63" i="11"/>
  <c r="I65" i="11" s="1"/>
  <c r="R18" i="4"/>
  <c r="F66" i="17"/>
  <c r="G66" i="17" s="1"/>
  <c r="G68" i="17" s="1"/>
  <c r="G73" i="17" s="1"/>
  <c r="U58" i="8" l="1"/>
  <c r="X19" i="4"/>
  <c r="F68" i="17"/>
  <c r="F73" i="17" s="1"/>
  <c r="R20" i="4"/>
  <c r="D3" i="4"/>
  <c r="D3" i="18" s="1"/>
  <c r="H79" i="16" l="1"/>
  <c r="G79" i="16"/>
  <c r="H59" i="16"/>
  <c r="G59" i="16"/>
  <c r="M31" i="6"/>
  <c r="M67" i="6" s="1"/>
  <c r="M72" i="6" s="1"/>
  <c r="H43" i="16"/>
  <c r="N25" i="6" s="1"/>
  <c r="G43" i="16"/>
  <c r="M25" i="6" s="1"/>
  <c r="M26" i="6" s="1"/>
  <c r="M54" i="5" s="1"/>
  <c r="M56" i="5" s="1"/>
  <c r="M73" i="5" s="1"/>
  <c r="M48" i="6" s="1"/>
  <c r="G29" i="16"/>
  <c r="H11" i="16" s="1"/>
  <c r="G26" i="16"/>
  <c r="G27" i="16" s="1"/>
  <c r="G28" i="16" s="1"/>
  <c r="J43" i="16"/>
  <c r="P25" i="6" s="1"/>
  <c r="G22" i="16"/>
  <c r="G41" i="16" s="1"/>
  <c r="N52" i="6"/>
  <c r="G11" i="16"/>
  <c r="G10" i="16"/>
  <c r="G9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6" i="16" s="1"/>
  <c r="B29" i="16" s="1"/>
  <c r="B31" i="16" s="1"/>
  <c r="B32" i="16" s="1"/>
  <c r="B33" i="16" s="1"/>
  <c r="B34" i="16" s="1"/>
  <c r="G8" i="16"/>
  <c r="C3" i="16"/>
  <c r="C2" i="16"/>
  <c r="O81" i="1"/>
  <c r="O46" i="5" s="1"/>
  <c r="O114" i="5" s="1"/>
  <c r="H80" i="14"/>
  <c r="G80" i="14"/>
  <c r="O71" i="6" l="1"/>
  <c r="O138" i="6" s="1"/>
  <c r="O91" i="5"/>
  <c r="O23" i="5" s="1"/>
  <c r="H10" i="16"/>
  <c r="B40" i="16"/>
  <c r="B41" i="16" s="1"/>
  <c r="B42" i="16" s="1"/>
  <c r="B46" i="16" s="1"/>
  <c r="B47" i="16" s="1"/>
  <c r="B48" i="16" s="1"/>
  <c r="B49" i="16" s="1"/>
  <c r="B50" i="16" s="1"/>
  <c r="N40" i="6"/>
  <c r="N39" i="6" s="1"/>
  <c r="H29" i="16"/>
  <c r="N20" i="6"/>
  <c r="H8" i="16"/>
  <c r="H19" i="16" s="1"/>
  <c r="G24" i="16"/>
  <c r="G40" i="16" s="1"/>
  <c r="I43" i="16"/>
  <c r="O25" i="6" s="1"/>
  <c r="H22" i="16"/>
  <c r="H26" i="16"/>
  <c r="H27" i="16" s="1"/>
  <c r="H28" i="16" s="1"/>
  <c r="G8" i="14"/>
  <c r="G9" i="14"/>
  <c r="G10" i="14"/>
  <c r="G11" i="14"/>
  <c r="O31" i="14"/>
  <c r="B51" i="16" l="1"/>
  <c r="B52" i="16" s="1"/>
  <c r="G42" i="16"/>
  <c r="G60" i="16"/>
  <c r="G61" i="16" s="1"/>
  <c r="I8" i="16"/>
  <c r="P31" i="14"/>
  <c r="N23" i="6"/>
  <c r="N58" i="6"/>
  <c r="H34" i="16"/>
  <c r="H12" i="16" s="1"/>
  <c r="H9" i="16" s="1"/>
  <c r="H18" i="16" s="1"/>
  <c r="K43" i="16"/>
  <c r="Q25" i="6" s="1"/>
  <c r="G25" i="16"/>
  <c r="H24" i="16"/>
  <c r="H41" i="16"/>
  <c r="G71" i="16"/>
  <c r="G72" i="16" s="1"/>
  <c r="O32" i="14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AB32" i="14" s="1"/>
  <c r="AC32" i="14" s="1"/>
  <c r="AD32" i="14" s="1"/>
  <c r="AE32" i="14" s="1"/>
  <c r="AF32" i="14" s="1"/>
  <c r="AG32" i="14" s="1"/>
  <c r="AH32" i="14" s="1"/>
  <c r="AI32" i="14" s="1"/>
  <c r="AJ32" i="14" s="1"/>
  <c r="AK32" i="14" s="1"/>
  <c r="AL32" i="14" s="1"/>
  <c r="AM32" i="14" s="1"/>
  <c r="AN32" i="14" s="1"/>
  <c r="AO32" i="14" s="1"/>
  <c r="AL65" i="5" l="1"/>
  <c r="AP65" i="5"/>
  <c r="AM65" i="5"/>
  <c r="AQ65" i="5"/>
  <c r="AJ65" i="5"/>
  <c r="AN65" i="5"/>
  <c r="AR65" i="5"/>
  <c r="AK65" i="5"/>
  <c r="AO65" i="5"/>
  <c r="AS65" i="5"/>
  <c r="AI65" i="5"/>
  <c r="B55" i="16"/>
  <c r="B59" i="16" s="1"/>
  <c r="B60" i="16" s="1"/>
  <c r="O33" i="14"/>
  <c r="O16" i="14" s="1"/>
  <c r="Q31" i="14"/>
  <c r="P33" i="14"/>
  <c r="P16" i="14" s="1"/>
  <c r="N26" i="6"/>
  <c r="L43" i="16"/>
  <c r="R25" i="6" s="1"/>
  <c r="M43" i="16"/>
  <c r="S25" i="6" s="1"/>
  <c r="I34" i="16"/>
  <c r="I12" i="16" s="1"/>
  <c r="H40" i="16"/>
  <c r="H60" i="16" s="1"/>
  <c r="H61" i="16" s="1"/>
  <c r="H25" i="16"/>
  <c r="H51" i="16" s="1"/>
  <c r="N54" i="5" l="1"/>
  <c r="N56" i="5" s="1"/>
  <c r="B61" i="16"/>
  <c r="B62" i="16" s="1"/>
  <c r="B64" i="16" s="1"/>
  <c r="B69" i="16" s="1"/>
  <c r="B70" i="16" s="1"/>
  <c r="B71" i="16" s="1"/>
  <c r="B73" i="16" s="1"/>
  <c r="B79" i="16" s="1"/>
  <c r="R31" i="14"/>
  <c r="Q33" i="14"/>
  <c r="Q16" i="14" s="1"/>
  <c r="G81" i="16"/>
  <c r="G83" i="16" s="1"/>
  <c r="G52" i="16"/>
  <c r="H42" i="16"/>
  <c r="I9" i="16"/>
  <c r="O14" i="6"/>
  <c r="J34" i="16"/>
  <c r="J12" i="16" s="1"/>
  <c r="N43" i="16"/>
  <c r="T25" i="6" s="1"/>
  <c r="O23" i="16"/>
  <c r="B80" i="16" l="1"/>
  <c r="B81" i="16" s="1"/>
  <c r="B82" i="16" s="1"/>
  <c r="B83" i="16" s="1"/>
  <c r="S31" i="14"/>
  <c r="R33" i="14"/>
  <c r="R16" i="14" s="1"/>
  <c r="O43" i="16"/>
  <c r="U25" i="6" s="1"/>
  <c r="P23" i="16"/>
  <c r="H71" i="16"/>
  <c r="H72" i="16" s="1"/>
  <c r="P14" i="6"/>
  <c r="I10" i="16"/>
  <c r="I18" i="16" s="1"/>
  <c r="I20" i="16" s="1"/>
  <c r="O52" i="6" s="1"/>
  <c r="T31" i="14" l="1"/>
  <c r="S33" i="14"/>
  <c r="S16" i="14" s="1"/>
  <c r="O15" i="6"/>
  <c r="O40" i="6" s="1"/>
  <c r="O39" i="6" s="1"/>
  <c r="H81" i="16"/>
  <c r="H83" i="16" s="1"/>
  <c r="H52" i="16"/>
  <c r="I26" i="16"/>
  <c r="J10" i="16" s="1"/>
  <c r="P43" i="16"/>
  <c r="V25" i="6" s="1"/>
  <c r="Q23" i="16"/>
  <c r="N137" i="6" l="1"/>
  <c r="N139" i="6" s="1"/>
  <c r="N72" i="6"/>
  <c r="U31" i="14"/>
  <c r="T33" i="14"/>
  <c r="T16" i="14" s="1"/>
  <c r="R23" i="16"/>
  <c r="Q43" i="16"/>
  <c r="W25" i="6" s="1"/>
  <c r="I27" i="16"/>
  <c r="I28" i="16" s="1"/>
  <c r="J9" i="16"/>
  <c r="J18" i="16" s="1"/>
  <c r="J20" i="16" s="1"/>
  <c r="V31" i="14" l="1"/>
  <c r="U33" i="14"/>
  <c r="U16" i="14" s="1"/>
  <c r="P52" i="6"/>
  <c r="P15" i="6"/>
  <c r="R43" i="16"/>
  <c r="X25" i="6" s="1"/>
  <c r="S23" i="16"/>
  <c r="J26" i="16"/>
  <c r="W31" i="14" l="1"/>
  <c r="V33" i="14"/>
  <c r="V16" i="14" s="1"/>
  <c r="J27" i="16"/>
  <c r="J28" i="16" s="1"/>
  <c r="S43" i="16"/>
  <c r="Y25" i="6" s="1"/>
  <c r="T23" i="16"/>
  <c r="X31" i="14" l="1"/>
  <c r="W33" i="14"/>
  <c r="W16" i="14" s="1"/>
  <c r="T43" i="16"/>
  <c r="Z25" i="6" s="1"/>
  <c r="U23" i="16"/>
  <c r="I71" i="16"/>
  <c r="I72" i="16" s="1"/>
  <c r="I53" i="16" l="1"/>
  <c r="I54" i="16" s="1"/>
  <c r="I52" i="16"/>
  <c r="I79" i="16" s="1"/>
  <c r="I81" i="16" s="1"/>
  <c r="Y31" i="14"/>
  <c r="X33" i="14"/>
  <c r="X16" i="14" s="1"/>
  <c r="U43" i="16"/>
  <c r="AA25" i="6" s="1"/>
  <c r="V23" i="16"/>
  <c r="Z31" i="14" l="1"/>
  <c r="Y33" i="14"/>
  <c r="Y16" i="14" s="1"/>
  <c r="V43" i="16"/>
  <c r="AB25" i="6" s="1"/>
  <c r="W23" i="16"/>
  <c r="J71" i="16"/>
  <c r="J72" i="16" s="1"/>
  <c r="J53" i="16" l="1"/>
  <c r="J54" i="16" s="1"/>
  <c r="J52" i="16"/>
  <c r="J79" i="16" s="1"/>
  <c r="J81" i="16" s="1"/>
  <c r="AA31" i="14"/>
  <c r="Z33" i="14"/>
  <c r="Z16" i="14" s="1"/>
  <c r="W43" i="16"/>
  <c r="AC25" i="6" s="1"/>
  <c r="X23" i="16"/>
  <c r="AB31" i="14" l="1"/>
  <c r="AA33" i="14"/>
  <c r="AA16" i="14" s="1"/>
  <c r="X43" i="16"/>
  <c r="AD25" i="6" s="1"/>
  <c r="Y23" i="16"/>
  <c r="AC31" i="14" l="1"/>
  <c r="AB33" i="14"/>
  <c r="AB16" i="14" s="1"/>
  <c r="Z23" i="16"/>
  <c r="Y43" i="16"/>
  <c r="AE25" i="6" s="1"/>
  <c r="AD31" i="14" l="1"/>
  <c r="AC33" i="14"/>
  <c r="AC16" i="14" s="1"/>
  <c r="Z43" i="16"/>
  <c r="AF25" i="6" s="1"/>
  <c r="AA23" i="16"/>
  <c r="AE31" i="14" l="1"/>
  <c r="AD33" i="14"/>
  <c r="AD16" i="14" s="1"/>
  <c r="AA43" i="16"/>
  <c r="AG25" i="6" s="1"/>
  <c r="AB23" i="16"/>
  <c r="AE33" i="14" l="1"/>
  <c r="AE16" i="14" s="1"/>
  <c r="AF31" i="14"/>
  <c r="AB43" i="16"/>
  <c r="AH25" i="6" s="1"/>
  <c r="I37" i="21" s="1" a="1"/>
  <c r="AC23" i="16"/>
  <c r="I37" i="21" l="1"/>
  <c r="I52" i="21"/>
  <c r="I63" i="21"/>
  <c r="I47" i="21"/>
  <c r="I62" i="21"/>
  <c r="I46" i="21"/>
  <c r="I61" i="21"/>
  <c r="I45" i="21"/>
  <c r="I56" i="21"/>
  <c r="I50" i="21"/>
  <c r="I64" i="21"/>
  <c r="I48" i="21"/>
  <c r="I59" i="21"/>
  <c r="I43" i="21"/>
  <c r="I58" i="21"/>
  <c r="I42" i="21"/>
  <c r="I57" i="21"/>
  <c r="I41" i="21"/>
  <c r="I51" i="21"/>
  <c r="I65" i="21"/>
  <c r="I60" i="21"/>
  <c r="I44" i="21"/>
  <c r="I55" i="21"/>
  <c r="I39" i="21"/>
  <c r="I54" i="21"/>
  <c r="I38" i="21"/>
  <c r="I53" i="21"/>
  <c r="I40" i="21"/>
  <c r="I66" i="21"/>
  <c r="I49" i="21"/>
  <c r="AF33" i="14"/>
  <c r="AF16" i="14" s="1"/>
  <c r="AG31" i="14"/>
  <c r="AD23" i="16"/>
  <c r="AC43" i="16"/>
  <c r="AG33" i="14" l="1"/>
  <c r="AG16" i="14" s="1"/>
  <c r="AH31" i="14"/>
  <c r="AD43" i="16"/>
  <c r="AE23" i="16"/>
  <c r="AH33" i="14" l="1"/>
  <c r="AH16" i="14" s="1"/>
  <c r="AI31" i="14"/>
  <c r="AE43" i="16"/>
  <c r="AF23" i="16"/>
  <c r="AI33" i="14" l="1"/>
  <c r="AI16" i="14" s="1"/>
  <c r="AJ31" i="14"/>
  <c r="AF43" i="16"/>
  <c r="AG23" i="16"/>
  <c r="AJ33" i="14" l="1"/>
  <c r="AJ16" i="14" s="1"/>
  <c r="AK31" i="14"/>
  <c r="AH23" i="16"/>
  <c r="AG43" i="16"/>
  <c r="AK33" i="14" l="1"/>
  <c r="AK16" i="14" s="1"/>
  <c r="AL31" i="14"/>
  <c r="AH43" i="16"/>
  <c r="AI23" i="16"/>
  <c r="AL33" i="14" l="1"/>
  <c r="AL16" i="14" s="1"/>
  <c r="AM31" i="14"/>
  <c r="AI43" i="16"/>
  <c r="AJ23" i="16"/>
  <c r="AM33" i="14" l="1"/>
  <c r="AM16" i="14" s="1"/>
  <c r="AN31" i="14"/>
  <c r="AJ43" i="16"/>
  <c r="AK23" i="16"/>
  <c r="AN33" i="14" l="1"/>
  <c r="AN16" i="14" s="1"/>
  <c r="AO31" i="14"/>
  <c r="AO33" i="14" s="1"/>
  <c r="AO16" i="14" s="1"/>
  <c r="AK43" i="16"/>
  <c r="AL23" i="16"/>
  <c r="AL43" i="16" l="1"/>
  <c r="AM23" i="16"/>
  <c r="AM43" i="16" l="1"/>
  <c r="AN23" i="16"/>
  <c r="AN43" i="16" l="1"/>
  <c r="AO23" i="16"/>
  <c r="AO43" i="16" s="1"/>
  <c r="N83" i="6" l="1"/>
  <c r="C3" i="14"/>
  <c r="C2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6" i="14" s="1"/>
  <c r="B29" i="14" s="1"/>
  <c r="H59" i="14"/>
  <c r="H43" i="14"/>
  <c r="N92" i="6" s="1"/>
  <c r="G43" i="14"/>
  <c r="M92" i="6" s="1"/>
  <c r="M93" i="6" s="1"/>
  <c r="M122" i="5" s="1"/>
  <c r="M124" i="5" s="1"/>
  <c r="M141" i="5" s="1"/>
  <c r="M115" i="6" s="1"/>
  <c r="G29" i="14"/>
  <c r="H11" i="14" s="1"/>
  <c r="G26" i="14"/>
  <c r="G27" i="14" s="1"/>
  <c r="G28" i="14" s="1"/>
  <c r="I43" i="14"/>
  <c r="O92" i="6" s="1"/>
  <c r="G22" i="14"/>
  <c r="G24" i="14" s="1"/>
  <c r="I17" i="16"/>
  <c r="D23" i="12"/>
  <c r="E23" i="12" s="1"/>
  <c r="F23" i="12" s="1"/>
  <c r="G23" i="12" s="1"/>
  <c r="H23" i="12" s="1"/>
  <c r="I23" i="12" s="1"/>
  <c r="J23" i="12" s="1"/>
  <c r="K23" i="12" s="1"/>
  <c r="L23" i="12" s="1"/>
  <c r="M23" i="12" s="1"/>
  <c r="N23" i="12" s="1"/>
  <c r="O23" i="12" s="1"/>
  <c r="P23" i="12" s="1"/>
  <c r="Q23" i="12" s="1"/>
  <c r="R23" i="12" s="1"/>
  <c r="M90" i="1"/>
  <c r="R24" i="12"/>
  <c r="D25" i="12" s="1"/>
  <c r="M91" i="1" s="1"/>
  <c r="I11" i="16" l="1"/>
  <c r="I19" i="16" s="1"/>
  <c r="I21" i="16" s="1"/>
  <c r="J17" i="14"/>
  <c r="N107" i="6"/>
  <c r="N106" i="6" s="1"/>
  <c r="N119" i="6"/>
  <c r="H29" i="14"/>
  <c r="N87" i="6"/>
  <c r="N125" i="6" s="1"/>
  <c r="S91" i="1"/>
  <c r="Q91" i="1"/>
  <c r="AW91" i="1"/>
  <c r="Y91" i="1"/>
  <c r="AG91" i="1"/>
  <c r="AO91" i="1"/>
  <c r="W14" i="18"/>
  <c r="H22" i="14"/>
  <c r="H24" i="14" s="1"/>
  <c r="H40" i="14" s="1"/>
  <c r="AT91" i="1"/>
  <c r="AL91" i="1"/>
  <c r="AD91" i="1"/>
  <c r="V91" i="1"/>
  <c r="AS91" i="1"/>
  <c r="AK91" i="1"/>
  <c r="AC91" i="1"/>
  <c r="U91" i="1"/>
  <c r="AX91" i="1"/>
  <c r="AP91" i="1"/>
  <c r="AH91" i="1"/>
  <c r="Z91" i="1"/>
  <c r="R91" i="1"/>
  <c r="P14" i="18"/>
  <c r="T14" i="18"/>
  <c r="X14" i="18"/>
  <c r="N14" i="18"/>
  <c r="R14" i="18"/>
  <c r="V14" i="18"/>
  <c r="M14" i="18"/>
  <c r="Q14" i="18"/>
  <c r="U14" i="18"/>
  <c r="S14" i="18"/>
  <c r="O14" i="18"/>
  <c r="O91" i="1"/>
  <c r="AV91" i="1"/>
  <c r="AR91" i="1"/>
  <c r="AN91" i="1"/>
  <c r="AJ91" i="1"/>
  <c r="AF91" i="1"/>
  <c r="AB91" i="1"/>
  <c r="X91" i="1"/>
  <c r="T91" i="1"/>
  <c r="P91" i="1"/>
  <c r="M92" i="1"/>
  <c r="AY91" i="1"/>
  <c r="AU91" i="1"/>
  <c r="AQ91" i="1"/>
  <c r="AM91" i="1"/>
  <c r="AI91" i="1"/>
  <c r="AE91" i="1"/>
  <c r="AA91" i="1"/>
  <c r="W91" i="1"/>
  <c r="B31" i="14"/>
  <c r="B32" i="14" s="1"/>
  <c r="B33" i="14" s="1"/>
  <c r="B34" i="14" s="1"/>
  <c r="H26" i="14"/>
  <c r="H27" i="14" s="1"/>
  <c r="H28" i="14" s="1"/>
  <c r="H8" i="14"/>
  <c r="G40" i="14"/>
  <c r="G25" i="14"/>
  <c r="H10" i="14"/>
  <c r="I12" i="14"/>
  <c r="G41" i="14"/>
  <c r="H41" i="14"/>
  <c r="H34" i="14"/>
  <c r="H12" i="14" s="1"/>
  <c r="H9" i="14" s="1"/>
  <c r="I22" i="16" l="1"/>
  <c r="I29" i="16"/>
  <c r="O19" i="6"/>
  <c r="O20" i="6" s="1"/>
  <c r="O58" i="6" s="1"/>
  <c r="J8" i="16"/>
  <c r="I8" i="14"/>
  <c r="I11" i="14"/>
  <c r="I19" i="14" s="1"/>
  <c r="I21" i="14" s="1"/>
  <c r="K17" i="14"/>
  <c r="J17" i="16"/>
  <c r="I24" i="16"/>
  <c r="I41" i="16"/>
  <c r="G72" i="14"/>
  <c r="G73" i="14" s="1"/>
  <c r="G60" i="14"/>
  <c r="H60" i="14"/>
  <c r="H61" i="14" s="1"/>
  <c r="B40" i="14"/>
  <c r="B41" i="14" s="1"/>
  <c r="B42" i="14" s="1"/>
  <c r="B46" i="14" s="1"/>
  <c r="B47" i="14" s="1"/>
  <c r="B48" i="14" s="1"/>
  <c r="B49" i="14" s="1"/>
  <c r="B50" i="14" s="1"/>
  <c r="H25" i="14"/>
  <c r="H51" i="14" s="1"/>
  <c r="N90" i="6"/>
  <c r="N93" i="6" s="1"/>
  <c r="N122" i="5" s="1"/>
  <c r="N124" i="5" s="1"/>
  <c r="G42" i="14"/>
  <c r="S92" i="1"/>
  <c r="W92" i="1"/>
  <c r="AA92" i="1"/>
  <c r="AE92" i="1"/>
  <c r="AI92" i="1"/>
  <c r="AM92" i="1"/>
  <c r="AQ92" i="1"/>
  <c r="AU92" i="1"/>
  <c r="AY92" i="1"/>
  <c r="Q92" i="1"/>
  <c r="U92" i="1"/>
  <c r="Y92" i="1"/>
  <c r="AC92" i="1"/>
  <c r="AG92" i="1"/>
  <c r="AK92" i="1"/>
  <c r="AO92" i="1"/>
  <c r="P92" i="1"/>
  <c r="T92" i="1"/>
  <c r="X92" i="1"/>
  <c r="AB92" i="1"/>
  <c r="AF92" i="1"/>
  <c r="AJ92" i="1"/>
  <c r="AN92" i="1"/>
  <c r="AR92" i="1"/>
  <c r="AV92" i="1"/>
  <c r="AD92" i="1"/>
  <c r="AS92" i="1"/>
  <c r="O92" i="1"/>
  <c r="R92" i="1"/>
  <c r="AH92" i="1"/>
  <c r="AT92" i="1"/>
  <c r="M93" i="1"/>
  <c r="V92" i="1"/>
  <c r="AW92" i="1"/>
  <c r="AP92" i="1"/>
  <c r="AX92" i="1"/>
  <c r="AL92" i="1"/>
  <c r="Z92" i="1"/>
  <c r="H72" i="14"/>
  <c r="H73" i="14" s="1"/>
  <c r="H53" i="14" s="1"/>
  <c r="H42" i="14"/>
  <c r="J34" i="14"/>
  <c r="J12" i="14" s="1"/>
  <c r="L34" i="14"/>
  <c r="L12" i="14" s="1"/>
  <c r="K34" i="14"/>
  <c r="K12" i="14" s="1"/>
  <c r="J43" i="14"/>
  <c r="P92" i="6" s="1"/>
  <c r="I9" i="14"/>
  <c r="O81" i="6"/>
  <c r="J11" i="16" l="1"/>
  <c r="O23" i="6"/>
  <c r="J19" i="16"/>
  <c r="J21" i="16" s="1"/>
  <c r="J29" i="16" s="1"/>
  <c r="N62" i="5"/>
  <c r="N71" i="5" s="1"/>
  <c r="N130" i="5"/>
  <c r="N139" i="5" s="1"/>
  <c r="B51" i="14"/>
  <c r="B52" i="14" s="1"/>
  <c r="I25" i="16"/>
  <c r="I51" i="16" s="1"/>
  <c r="I40" i="16"/>
  <c r="K17" i="16"/>
  <c r="L17" i="14"/>
  <c r="I29" i="14"/>
  <c r="J11" i="14" s="1"/>
  <c r="O86" i="6"/>
  <c r="O87" i="6" s="1"/>
  <c r="O125" i="6" s="1"/>
  <c r="M34" i="14"/>
  <c r="M12" i="14" s="1"/>
  <c r="P93" i="1"/>
  <c r="T93" i="1"/>
  <c r="X93" i="1"/>
  <c r="AB93" i="1"/>
  <c r="AF93" i="1"/>
  <c r="AJ93" i="1"/>
  <c r="AN93" i="1"/>
  <c r="AR93" i="1"/>
  <c r="AV93" i="1"/>
  <c r="O93" i="1"/>
  <c r="R93" i="1"/>
  <c r="V93" i="1"/>
  <c r="Z93" i="1"/>
  <c r="AD93" i="1"/>
  <c r="AH93" i="1"/>
  <c r="AL93" i="1"/>
  <c r="AP93" i="1"/>
  <c r="AT93" i="1"/>
  <c r="AX93" i="1"/>
  <c r="Q93" i="1"/>
  <c r="U93" i="1"/>
  <c r="Y93" i="1"/>
  <c r="AC93" i="1"/>
  <c r="AG93" i="1"/>
  <c r="AK93" i="1"/>
  <c r="AO93" i="1"/>
  <c r="AS93" i="1"/>
  <c r="AW93" i="1"/>
  <c r="AA93" i="1"/>
  <c r="AQ93" i="1"/>
  <c r="AE93" i="1"/>
  <c r="AU93" i="1"/>
  <c r="S93" i="1"/>
  <c r="AY93" i="1"/>
  <c r="W93" i="1"/>
  <c r="AI93" i="1"/>
  <c r="AM93" i="1"/>
  <c r="H52" i="14"/>
  <c r="N83" i="5" s="1"/>
  <c r="N34" i="14"/>
  <c r="N12" i="14" s="1"/>
  <c r="O34" i="14"/>
  <c r="O12" i="14" s="1"/>
  <c r="P81" i="6"/>
  <c r="I10" i="14"/>
  <c r="I18" i="14" s="1"/>
  <c r="K43" i="14"/>
  <c r="Q92" i="6" s="1"/>
  <c r="O26" i="6" l="1"/>
  <c r="O65" i="5"/>
  <c r="O133" i="5" s="1"/>
  <c r="O67" i="5"/>
  <c r="P19" i="6"/>
  <c r="P20" i="6" s="1"/>
  <c r="J22" i="16"/>
  <c r="J24" i="16" s="1"/>
  <c r="K8" i="16"/>
  <c r="K11" i="16"/>
  <c r="B55" i="14"/>
  <c r="B59" i="14" s="1"/>
  <c r="B60" i="14" s="1"/>
  <c r="B61" i="14" s="1"/>
  <c r="B62" i="14" s="1"/>
  <c r="B64" i="14" s="1"/>
  <c r="B70" i="14" s="1"/>
  <c r="B71" i="14" s="1"/>
  <c r="B72" i="14" s="1"/>
  <c r="B74" i="14" s="1"/>
  <c r="B80" i="14" s="1"/>
  <c r="N82" i="5"/>
  <c r="N99" i="5" s="1"/>
  <c r="N15" i="5"/>
  <c r="N14" i="5" s="1"/>
  <c r="N31" i="5" s="1"/>
  <c r="I20" i="14"/>
  <c r="O83" i="6" s="1"/>
  <c r="L17" i="16"/>
  <c r="M17" i="14"/>
  <c r="I60" i="16"/>
  <c r="I59" i="16" s="1"/>
  <c r="I42" i="16"/>
  <c r="O24" i="6" s="1"/>
  <c r="P58" i="6"/>
  <c r="J8" i="14"/>
  <c r="J19" i="14" s="1"/>
  <c r="J21" i="14" s="1"/>
  <c r="J29" i="14" s="1"/>
  <c r="K11" i="14" s="1"/>
  <c r="H82" i="14"/>
  <c r="H84" i="14" s="1"/>
  <c r="AF34" i="14"/>
  <c r="AF12" i="14" s="1"/>
  <c r="AE34" i="14"/>
  <c r="AE12" i="14" s="1"/>
  <c r="P34" i="14"/>
  <c r="P12" i="14" s="1"/>
  <c r="L43" i="14"/>
  <c r="R92" i="6" s="1"/>
  <c r="Q81" i="6"/>
  <c r="P23" i="6" l="1"/>
  <c r="O56" i="5"/>
  <c r="O54" i="5"/>
  <c r="P26" i="6"/>
  <c r="P54" i="5" s="1"/>
  <c r="P65" i="5"/>
  <c r="J41" i="16"/>
  <c r="K19" i="16"/>
  <c r="K21" i="16" s="1"/>
  <c r="I22" i="14"/>
  <c r="I26" i="14"/>
  <c r="I27" i="14" s="1"/>
  <c r="I28" i="14" s="1"/>
  <c r="O82" i="6"/>
  <c r="O107" i="6" s="1"/>
  <c r="O106" i="6" s="1"/>
  <c r="O119" i="6"/>
  <c r="O90" i="6"/>
  <c r="O93" i="6" s="1"/>
  <c r="O122" i="5" s="1"/>
  <c r="O124" i="5" s="1"/>
  <c r="J10" i="14"/>
  <c r="I61" i="16"/>
  <c r="I66" i="16" s="1"/>
  <c r="I64" i="16" s="1"/>
  <c r="M17" i="16"/>
  <c r="N17" i="14"/>
  <c r="K29" i="16"/>
  <c r="Q19" i="6"/>
  <c r="Q20" i="6" s="1"/>
  <c r="J40" i="16"/>
  <c r="J25" i="16"/>
  <c r="J51" i="16" s="1"/>
  <c r="P86" i="6"/>
  <c r="P87" i="6" s="1"/>
  <c r="K8" i="14"/>
  <c r="K19" i="14" s="1"/>
  <c r="K21" i="14" s="1"/>
  <c r="Q86" i="6" s="1"/>
  <c r="Q87" i="6" s="1"/>
  <c r="Q125" i="6" s="1"/>
  <c r="M43" i="14"/>
  <c r="S92" i="6" s="1"/>
  <c r="R81" i="6"/>
  <c r="Q34" i="14"/>
  <c r="Q12" i="14" s="1"/>
  <c r="I41" i="14"/>
  <c r="I24" i="14"/>
  <c r="J9" i="14"/>
  <c r="J18" i="14" s="1"/>
  <c r="J20" i="14" s="1"/>
  <c r="P83" i="6" s="1"/>
  <c r="P125" i="6" l="1"/>
  <c r="AI133" i="5"/>
  <c r="I65" i="16"/>
  <c r="I56" i="16" s="1"/>
  <c r="I55" i="16"/>
  <c r="L8" i="16"/>
  <c r="L11" i="16"/>
  <c r="I25" i="14"/>
  <c r="J60" i="16"/>
  <c r="J59" i="16" s="1"/>
  <c r="J42" i="16"/>
  <c r="P24" i="6" s="1"/>
  <c r="N17" i="16"/>
  <c r="O17" i="14"/>
  <c r="Q58" i="6"/>
  <c r="K29" i="14"/>
  <c r="L11" i="14" s="1"/>
  <c r="P119" i="6"/>
  <c r="P90" i="6"/>
  <c r="P82" i="6"/>
  <c r="AH34" i="14"/>
  <c r="AH12" i="14" s="1"/>
  <c r="AG34" i="14"/>
  <c r="AG12" i="14" s="1"/>
  <c r="S81" i="6"/>
  <c r="I40" i="14"/>
  <c r="I60" i="14" s="1"/>
  <c r="I59" i="14" s="1"/>
  <c r="N43" i="14"/>
  <c r="T92" i="6" s="1"/>
  <c r="J26" i="14"/>
  <c r="J22" i="14"/>
  <c r="R34" i="14"/>
  <c r="R12" i="14" s="1"/>
  <c r="P133" i="5" l="1"/>
  <c r="L19" i="16"/>
  <c r="L21" i="16" s="1"/>
  <c r="I51" i="14"/>
  <c r="L29" i="16"/>
  <c r="M11" i="16" s="1"/>
  <c r="R19" i="6"/>
  <c r="R20" i="6" s="1"/>
  <c r="O17" i="16"/>
  <c r="P17" i="14"/>
  <c r="J61" i="16"/>
  <c r="J66" i="16" s="1"/>
  <c r="J64" i="16" s="1"/>
  <c r="J65" i="16" s="1"/>
  <c r="I46" i="14"/>
  <c r="L8" i="14"/>
  <c r="L19" i="14" s="1"/>
  <c r="L21" i="14" s="1"/>
  <c r="R86" i="6" s="1"/>
  <c r="R87" i="6" s="1"/>
  <c r="P93" i="6"/>
  <c r="P122" i="5" s="1"/>
  <c r="AI34" i="14"/>
  <c r="AI12" i="14" s="1"/>
  <c r="S34" i="14"/>
  <c r="S12" i="14" s="1"/>
  <c r="J27" i="14"/>
  <c r="J28" i="14" s="1"/>
  <c r="K9" i="14"/>
  <c r="K10" i="14"/>
  <c r="O43" i="14"/>
  <c r="U92" i="6" s="1"/>
  <c r="I42" i="14"/>
  <c r="O91" i="6" s="1"/>
  <c r="J41" i="14"/>
  <c r="J24" i="14"/>
  <c r="T81" i="6"/>
  <c r="I61" i="14" l="1"/>
  <c r="J25" i="14"/>
  <c r="J51" i="14" s="1"/>
  <c r="O62" i="5"/>
  <c r="O71" i="5" s="1"/>
  <c r="O130" i="5"/>
  <c r="P17" i="16"/>
  <c r="Q17" i="14"/>
  <c r="O96" i="6"/>
  <c r="J56" i="16"/>
  <c r="R58" i="6"/>
  <c r="M8" i="16"/>
  <c r="R125" i="6"/>
  <c r="K18" i="14"/>
  <c r="K20" i="14" s="1"/>
  <c r="U81" i="6"/>
  <c r="L29" i="14"/>
  <c r="M11" i="14" s="1"/>
  <c r="P43" i="14"/>
  <c r="V92" i="6" s="1"/>
  <c r="J40" i="14"/>
  <c r="J60" i="14" s="1"/>
  <c r="J59" i="14" s="1"/>
  <c r="I72" i="14"/>
  <c r="I52" i="14" s="1"/>
  <c r="P33" i="5" l="1"/>
  <c r="P35" i="5" s="1"/>
  <c r="P37" i="5" s="1"/>
  <c r="P32" i="5"/>
  <c r="O83" i="5"/>
  <c r="I80" i="14"/>
  <c r="I82" i="14" s="1"/>
  <c r="O87" i="5"/>
  <c r="O19" i="5" s="1"/>
  <c r="I66" i="14"/>
  <c r="I64" i="14" s="1"/>
  <c r="O88" i="5"/>
  <c r="O20" i="5" s="1"/>
  <c r="P17" i="5"/>
  <c r="J55" i="16"/>
  <c r="P41" i="5" s="1"/>
  <c r="P42" i="5" s="1"/>
  <c r="P48" i="5" s="1"/>
  <c r="M19" i="16"/>
  <c r="M21" i="16" s="1"/>
  <c r="Q17" i="16"/>
  <c r="R17" i="14"/>
  <c r="I73" i="14"/>
  <c r="I53" i="14" s="1"/>
  <c r="I54" i="14" s="1"/>
  <c r="K22" i="14"/>
  <c r="K24" i="14" s="1"/>
  <c r="Q83" i="6"/>
  <c r="AJ34" i="14"/>
  <c r="AJ12" i="14" s="1"/>
  <c r="K26" i="14"/>
  <c r="K27" i="14" s="1"/>
  <c r="K28" i="14" s="1"/>
  <c r="Q43" i="14"/>
  <c r="W92" i="6" s="1"/>
  <c r="M8" i="14"/>
  <c r="J42" i="14"/>
  <c r="P91" i="6" s="1"/>
  <c r="T34" i="14"/>
  <c r="T12" i="14" s="1"/>
  <c r="V81" i="6"/>
  <c r="P38" i="5" l="1"/>
  <c r="P44" i="5"/>
  <c r="P53" i="5" s="1"/>
  <c r="P56" i="5" s="1"/>
  <c r="I65" i="14"/>
  <c r="I56" i="14" s="1"/>
  <c r="I55" i="14"/>
  <c r="K41" i="14"/>
  <c r="O85" i="5"/>
  <c r="O82" i="5" s="1"/>
  <c r="K25" i="14"/>
  <c r="K51" i="14" s="1"/>
  <c r="S17" i="14"/>
  <c r="R17" i="16"/>
  <c r="O97" i="6"/>
  <c r="O98" i="6" s="1"/>
  <c r="O134" i="6" s="1"/>
  <c r="I50" i="14"/>
  <c r="I49" i="14"/>
  <c r="J61" i="14"/>
  <c r="J66" i="14" s="1"/>
  <c r="J64" i="14" s="1"/>
  <c r="J46" i="14"/>
  <c r="S19" i="6"/>
  <c r="S20" i="6" s="1"/>
  <c r="M29" i="16"/>
  <c r="N11" i="16" s="1"/>
  <c r="O15" i="5"/>
  <c r="I84" i="14"/>
  <c r="M12" i="18"/>
  <c r="Q119" i="6"/>
  <c r="Q82" i="6"/>
  <c r="Q90" i="6"/>
  <c r="AK34" i="14"/>
  <c r="AK12" i="14" s="1"/>
  <c r="L10" i="14"/>
  <c r="L9" i="14"/>
  <c r="W81" i="6"/>
  <c r="U34" i="14"/>
  <c r="U12" i="14" s="1"/>
  <c r="M19" i="14"/>
  <c r="M21" i="14" s="1"/>
  <c r="S86" i="6" s="1"/>
  <c r="S87" i="6" s="1"/>
  <c r="K40" i="14"/>
  <c r="R43" i="14"/>
  <c r="X92" i="6" s="1"/>
  <c r="J72" i="14"/>
  <c r="J52" i="14" s="1"/>
  <c r="P83" i="5" s="1"/>
  <c r="Q133" i="5" l="1"/>
  <c r="J65" i="14"/>
  <c r="J56" i="14" s="1"/>
  <c r="J55" i="14"/>
  <c r="P109" i="5" s="1"/>
  <c r="P110" i="5" s="1"/>
  <c r="P116" i="5" s="1"/>
  <c r="O90" i="5"/>
  <c r="O89" i="5" s="1"/>
  <c r="P87" i="5"/>
  <c r="P19" i="5" s="1"/>
  <c r="P88" i="5"/>
  <c r="O17" i="5"/>
  <c r="O14" i="5" s="1"/>
  <c r="O93" i="5"/>
  <c r="O25" i="5" s="1"/>
  <c r="S58" i="6"/>
  <c r="P96" i="6"/>
  <c r="J47" i="14"/>
  <c r="N8" i="16"/>
  <c r="T17" i="14"/>
  <c r="S17" i="16"/>
  <c r="J73" i="14"/>
  <c r="K60" i="14"/>
  <c r="K59" i="14" s="1"/>
  <c r="Q93" i="6"/>
  <c r="Q122" i="5" s="1"/>
  <c r="S125" i="6"/>
  <c r="AM34" i="14"/>
  <c r="AM12" i="14" s="1"/>
  <c r="AL34" i="14"/>
  <c r="AL12" i="14" s="1"/>
  <c r="L18" i="14"/>
  <c r="L20" i="14" s="1"/>
  <c r="K42" i="14"/>
  <c r="Q91" i="6" s="1"/>
  <c r="X81" i="6"/>
  <c r="S43" i="14"/>
  <c r="Y92" i="6" s="1"/>
  <c r="M29" i="14"/>
  <c r="N11" i="14" s="1"/>
  <c r="V34" i="14"/>
  <c r="V12" i="14" s="1"/>
  <c r="P101" i="5" l="1"/>
  <c r="P103" i="5" s="1"/>
  <c r="P105" i="5" s="1"/>
  <c r="P100" i="5"/>
  <c r="P15" i="5"/>
  <c r="P14" i="5" s="1"/>
  <c r="J53" i="14"/>
  <c r="J54" i="14" s="1"/>
  <c r="O22" i="5"/>
  <c r="O21" i="5" s="1"/>
  <c r="P20" i="5"/>
  <c r="N19" i="16"/>
  <c r="N21" i="16" s="1"/>
  <c r="T19" i="6" s="1"/>
  <c r="T20" i="6" s="1"/>
  <c r="U17" i="14"/>
  <c r="T17" i="16"/>
  <c r="J48" i="14"/>
  <c r="K46" i="14"/>
  <c r="K47" i="14" s="1"/>
  <c r="J84" i="14"/>
  <c r="N12" i="18"/>
  <c r="L26" i="14"/>
  <c r="L27" i="14" s="1"/>
  <c r="L28" i="14" s="1"/>
  <c r="R83" i="6"/>
  <c r="L22" i="14"/>
  <c r="L24" i="14" s="1"/>
  <c r="N8" i="14"/>
  <c r="K72" i="14"/>
  <c r="K52" i="14" s="1"/>
  <c r="Q83" i="5"/>
  <c r="Y81" i="6"/>
  <c r="T43" i="14"/>
  <c r="Z92" i="6" s="1"/>
  <c r="W34" i="14"/>
  <c r="W12" i="14" s="1"/>
  <c r="P106" i="5" l="1"/>
  <c r="P112" i="5" s="1"/>
  <c r="P121" i="5" s="1"/>
  <c r="P124" i="5" s="1"/>
  <c r="P90" i="5"/>
  <c r="P22" i="5" s="1"/>
  <c r="M10" i="14"/>
  <c r="N29" i="16"/>
  <c r="O11" i="16" s="1"/>
  <c r="L25" i="14"/>
  <c r="L51" i="14" s="1"/>
  <c r="K61" i="14"/>
  <c r="K66" i="14" s="1"/>
  <c r="K64" i="14" s="1"/>
  <c r="P85" i="5"/>
  <c r="P82" i="5" s="1"/>
  <c r="Q96" i="6"/>
  <c r="T58" i="6"/>
  <c r="K48" i="14"/>
  <c r="P97" i="6"/>
  <c r="P98" i="6" s="1"/>
  <c r="P134" i="6" s="1"/>
  <c r="J50" i="14"/>
  <c r="J49" i="14"/>
  <c r="V17" i="14"/>
  <c r="U17" i="16"/>
  <c r="K73" i="14"/>
  <c r="R90" i="6"/>
  <c r="R119" i="6"/>
  <c r="R82" i="6"/>
  <c r="M9" i="14"/>
  <c r="M18" i="14" s="1"/>
  <c r="M20" i="14" s="1"/>
  <c r="AO34" i="14"/>
  <c r="AO12" i="14" s="1"/>
  <c r="AN34" i="14"/>
  <c r="AN12" i="14" s="1"/>
  <c r="L41" i="14"/>
  <c r="X34" i="14"/>
  <c r="X12" i="14" s="1"/>
  <c r="L40" i="14"/>
  <c r="L60" i="14" s="1"/>
  <c r="L59" i="14" s="1"/>
  <c r="U43" i="14"/>
  <c r="AA92" i="6" s="1"/>
  <c r="Z81" i="6"/>
  <c r="N19" i="14"/>
  <c r="N21" i="14" s="1"/>
  <c r="T86" i="6" s="1"/>
  <c r="T87" i="6" s="1"/>
  <c r="R133" i="5" l="1"/>
  <c r="K55" i="14"/>
  <c r="Q109" i="5" s="1"/>
  <c r="Q110" i="5" s="1"/>
  <c r="Q116" i="5" s="1"/>
  <c r="K65" i="14"/>
  <c r="K56" i="14" s="1"/>
  <c r="Q15" i="5"/>
  <c r="K53" i="14"/>
  <c r="K54" i="14" s="1"/>
  <c r="O8" i="16"/>
  <c r="O19" i="16" s="1"/>
  <c r="O21" i="16" s="1"/>
  <c r="U19" i="6" s="1"/>
  <c r="U20" i="6" s="1"/>
  <c r="U58" i="6" s="1"/>
  <c r="Q87" i="5"/>
  <c r="Q88" i="5"/>
  <c r="P93" i="5"/>
  <c r="P25" i="5" s="1"/>
  <c r="W17" i="14"/>
  <c r="V17" i="16"/>
  <c r="Q97" i="6"/>
  <c r="Q98" i="6" s="1"/>
  <c r="Q134" i="6" s="1"/>
  <c r="K49" i="14"/>
  <c r="K50" i="14"/>
  <c r="L46" i="14"/>
  <c r="T125" i="6"/>
  <c r="R93" i="6"/>
  <c r="R122" i="5" s="1"/>
  <c r="M26" i="14"/>
  <c r="N10" i="14" s="1"/>
  <c r="S83" i="6"/>
  <c r="K84" i="14"/>
  <c r="O12" i="18"/>
  <c r="M22" i="14"/>
  <c r="M41" i="14" s="1"/>
  <c r="N29" i="14"/>
  <c r="O11" i="14" s="1"/>
  <c r="Z34" i="14"/>
  <c r="Z12" i="14" s="1"/>
  <c r="V43" i="14"/>
  <c r="AB92" i="6" s="1"/>
  <c r="L42" i="14"/>
  <c r="R91" i="6" s="1"/>
  <c r="AA81" i="6"/>
  <c r="Y34" i="14"/>
  <c r="Y12" i="14" s="1"/>
  <c r="Q101" i="5" l="1"/>
  <c r="Q103" i="5" s="1"/>
  <c r="Q105" i="5" s="1"/>
  <c r="Q100" i="5"/>
  <c r="Q90" i="5"/>
  <c r="Q22" i="5" s="1"/>
  <c r="O29" i="16"/>
  <c r="N9" i="14"/>
  <c r="N18" i="14" s="1"/>
  <c r="N20" i="14" s="1"/>
  <c r="M27" i="14"/>
  <c r="M28" i="14" s="1"/>
  <c r="L61" i="14"/>
  <c r="Q93" i="5"/>
  <c r="Q25" i="5" s="1"/>
  <c r="Q20" i="5"/>
  <c r="Q19" i="5"/>
  <c r="R96" i="6"/>
  <c r="L47" i="14"/>
  <c r="X17" i="14"/>
  <c r="W17" i="16"/>
  <c r="S119" i="6"/>
  <c r="S90" i="6"/>
  <c r="S82" i="6"/>
  <c r="M24" i="14"/>
  <c r="AA34" i="14"/>
  <c r="AA12" i="14" s="1"/>
  <c r="L72" i="14"/>
  <c r="L52" i="14" s="1"/>
  <c r="R83" i="5" s="1"/>
  <c r="W43" i="14"/>
  <c r="AC92" i="6" s="1"/>
  <c r="AB81" i="6"/>
  <c r="O8" i="14"/>
  <c r="S133" i="5" l="1"/>
  <c r="Q106" i="5"/>
  <c r="P8" i="16"/>
  <c r="P11" i="16"/>
  <c r="R85" i="5"/>
  <c r="L66" i="14"/>
  <c r="L64" i="14" s="1"/>
  <c r="R87" i="5"/>
  <c r="R88" i="5"/>
  <c r="Q85" i="5"/>
  <c r="M25" i="14"/>
  <c r="M51" i="14" s="1"/>
  <c r="Y17" i="14"/>
  <c r="X17" i="16"/>
  <c r="L48" i="14"/>
  <c r="L49" i="14" s="1"/>
  <c r="R93" i="5" s="1"/>
  <c r="L73" i="14"/>
  <c r="L53" i="14" s="1"/>
  <c r="L54" i="14" s="1"/>
  <c r="S93" i="6"/>
  <c r="S122" i="5" s="1"/>
  <c r="N22" i="14"/>
  <c r="N41" i="14" s="1"/>
  <c r="T83" i="6"/>
  <c r="M40" i="14"/>
  <c r="M60" i="14" s="1"/>
  <c r="M59" i="14" s="1"/>
  <c r="N26" i="14"/>
  <c r="O9" i="14" s="1"/>
  <c r="O19" i="14"/>
  <c r="O21" i="14" s="1"/>
  <c r="AD34" i="14"/>
  <c r="AD12" i="14" s="1"/>
  <c r="X43" i="14"/>
  <c r="AD92" i="6" s="1"/>
  <c r="AC81" i="6"/>
  <c r="P19" i="16" l="1"/>
  <c r="P21" i="16" s="1"/>
  <c r="P29" i="16" s="1"/>
  <c r="Q11" i="16" s="1"/>
  <c r="L55" i="14"/>
  <c r="R109" i="5" s="1"/>
  <c r="R110" i="5" s="1"/>
  <c r="R116" i="5" s="1"/>
  <c r="L65" i="14"/>
  <c r="L56" i="14" s="1"/>
  <c r="V19" i="6"/>
  <c r="V20" i="6" s="1"/>
  <c r="V58" i="6" s="1"/>
  <c r="Q8" i="16"/>
  <c r="R97" i="6"/>
  <c r="R98" i="6" s="1"/>
  <c r="R134" i="6" s="1"/>
  <c r="L50" i="14"/>
  <c r="Z17" i="14"/>
  <c r="Y17" i="16"/>
  <c r="M46" i="14"/>
  <c r="N24" i="14"/>
  <c r="L84" i="14"/>
  <c r="R90" i="5" s="1"/>
  <c r="P12" i="18"/>
  <c r="O29" i="14"/>
  <c r="P11" i="14" s="1"/>
  <c r="U86" i="6"/>
  <c r="U87" i="6" s="1"/>
  <c r="U125" i="6" s="1"/>
  <c r="T82" i="6"/>
  <c r="T119" i="6"/>
  <c r="T90" i="6"/>
  <c r="M42" i="14"/>
  <c r="S91" i="6" s="1"/>
  <c r="M72" i="14"/>
  <c r="M52" i="14" s="1"/>
  <c r="O10" i="14"/>
  <c r="O18" i="14" s="1"/>
  <c r="O20" i="14" s="1"/>
  <c r="N27" i="14"/>
  <c r="N28" i="14" s="1"/>
  <c r="AC34" i="14"/>
  <c r="AC12" i="14" s="1"/>
  <c r="AB34" i="14"/>
  <c r="AB12" i="14" s="1"/>
  <c r="Y43" i="14"/>
  <c r="AE92" i="6" s="1"/>
  <c r="AD81" i="6"/>
  <c r="T133" i="5" l="1"/>
  <c r="R101" i="5"/>
  <c r="R103" i="5" s="1"/>
  <c r="R105" i="5" s="1"/>
  <c r="R100" i="5"/>
  <c r="Q19" i="16"/>
  <c r="Q21" i="16" s="1"/>
  <c r="W19" i="6" s="1"/>
  <c r="W20" i="6" s="1"/>
  <c r="W58" i="6" s="1"/>
  <c r="N25" i="14"/>
  <c r="N51" i="14" s="1"/>
  <c r="S96" i="6"/>
  <c r="M47" i="14"/>
  <c r="AA17" i="14"/>
  <c r="Z17" i="16"/>
  <c r="M61" i="14"/>
  <c r="M66" i="14" s="1"/>
  <c r="M64" i="14" s="1"/>
  <c r="M73" i="14"/>
  <c r="M53" i="14" s="1"/>
  <c r="M54" i="14" s="1"/>
  <c r="N40" i="14"/>
  <c r="T93" i="6"/>
  <c r="T122" i="5" s="1"/>
  <c r="P8" i="14"/>
  <c r="P19" i="14" s="1"/>
  <c r="P21" i="14" s="1"/>
  <c r="O22" i="14"/>
  <c r="O24" i="14" s="1"/>
  <c r="U83" i="6"/>
  <c r="S83" i="5"/>
  <c r="O26" i="14"/>
  <c r="P9" i="14" s="1"/>
  <c r="AE81" i="6"/>
  <c r="Z43" i="14"/>
  <c r="AF92" i="6" s="1"/>
  <c r="R106" i="5" l="1"/>
  <c r="M65" i="14"/>
  <c r="M56" i="14" s="1"/>
  <c r="M55" i="14"/>
  <c r="S109" i="5" s="1"/>
  <c r="S110" i="5" s="1"/>
  <c r="S116" i="5" s="1"/>
  <c r="M84" i="14"/>
  <c r="S90" i="5" s="1"/>
  <c r="Q29" i="16"/>
  <c r="R11" i="16" s="1"/>
  <c r="O25" i="14"/>
  <c r="O51" i="14" s="1"/>
  <c r="S88" i="5"/>
  <c r="S87" i="5"/>
  <c r="M48" i="14"/>
  <c r="O41" i="14"/>
  <c r="AB17" i="14"/>
  <c r="AA17" i="16"/>
  <c r="N42" i="14"/>
  <c r="T91" i="6" s="1"/>
  <c r="N60" i="14"/>
  <c r="N59" i="14" s="1"/>
  <c r="P29" i="14"/>
  <c r="Q11" i="14" s="1"/>
  <c r="V86" i="6"/>
  <c r="V87" i="6" s="1"/>
  <c r="V125" i="6" s="1"/>
  <c r="U90" i="6"/>
  <c r="U82" i="6"/>
  <c r="U119" i="6"/>
  <c r="N72" i="14"/>
  <c r="O27" i="14"/>
  <c r="O28" i="14" s="1"/>
  <c r="P10" i="14"/>
  <c r="P18" i="14" s="1"/>
  <c r="P20" i="14" s="1"/>
  <c r="V83" i="6" s="1"/>
  <c r="AA43" i="14"/>
  <c r="AG92" i="6" s="1"/>
  <c r="O40" i="14"/>
  <c r="O60" i="14" s="1"/>
  <c r="O59" i="14" s="1"/>
  <c r="AF81" i="6"/>
  <c r="S101" i="5" l="1"/>
  <c r="S103" i="5" s="1"/>
  <c r="S105" i="5" s="1"/>
  <c r="S100" i="5"/>
  <c r="U93" i="6"/>
  <c r="U122" i="5" s="1"/>
  <c r="U133" i="5"/>
  <c r="Q12" i="18"/>
  <c r="N73" i="14"/>
  <c r="N53" i="14" s="1"/>
  <c r="N54" i="14" s="1"/>
  <c r="N52" i="14"/>
  <c r="R8" i="16"/>
  <c r="R19" i="16" s="1"/>
  <c r="R21" i="16" s="1"/>
  <c r="S85" i="5"/>
  <c r="S97" i="6"/>
  <c r="S98" i="6" s="1"/>
  <c r="S134" i="6" s="1"/>
  <c r="M50" i="14"/>
  <c r="M49" i="14"/>
  <c r="S93" i="5" s="1"/>
  <c r="AC17" i="14"/>
  <c r="AB17" i="16"/>
  <c r="O46" i="14"/>
  <c r="N46" i="14"/>
  <c r="Q8" i="14"/>
  <c r="Q19" i="14" s="1"/>
  <c r="Q21" i="14" s="1"/>
  <c r="V82" i="6"/>
  <c r="V119" i="6"/>
  <c r="V90" i="6"/>
  <c r="T83" i="5"/>
  <c r="AG81" i="6"/>
  <c r="O42" i="14"/>
  <c r="U91" i="6" s="1"/>
  <c r="AB43" i="14"/>
  <c r="AH92" i="6" s="1"/>
  <c r="I3" i="21" s="1" a="1"/>
  <c r="P26" i="14"/>
  <c r="P22" i="14"/>
  <c r="I4" i="21" l="1"/>
  <c r="I31" i="21"/>
  <c r="I30" i="21"/>
  <c r="I29" i="21"/>
  <c r="I13" i="21"/>
  <c r="I19" i="21"/>
  <c r="I18" i="21"/>
  <c r="I24" i="21"/>
  <c r="I8" i="21"/>
  <c r="I14" i="21"/>
  <c r="I5" i="21"/>
  <c r="I32" i="21"/>
  <c r="I26" i="21"/>
  <c r="I23" i="21"/>
  <c r="I22" i="21"/>
  <c r="I25" i="21"/>
  <c r="I9" i="21"/>
  <c r="I11" i="21"/>
  <c r="I10" i="21"/>
  <c r="I20" i="21"/>
  <c r="I3" i="21"/>
  <c r="I16" i="21"/>
  <c r="I28" i="21"/>
  <c r="I15" i="21"/>
  <c r="I21" i="21"/>
  <c r="I7" i="21"/>
  <c r="I6" i="21"/>
  <c r="I17" i="21"/>
  <c r="I27" i="21"/>
  <c r="I12" i="21"/>
  <c r="V93" i="6"/>
  <c r="V122" i="5" s="1"/>
  <c r="V133" i="5"/>
  <c r="S106" i="5"/>
  <c r="O61" i="14"/>
  <c r="O66" i="14" s="1"/>
  <c r="O64" i="14" s="1"/>
  <c r="N47" i="14"/>
  <c r="AD17" i="14"/>
  <c r="AC17" i="16"/>
  <c r="T96" i="6"/>
  <c r="N61" i="14"/>
  <c r="N66" i="14" s="1"/>
  <c r="N64" i="14" s="1"/>
  <c r="X19" i="6"/>
  <c r="X20" i="6" s="1"/>
  <c r="X58" i="6" s="1"/>
  <c r="R29" i="16"/>
  <c r="S8" i="16" s="1"/>
  <c r="S19" i="16" s="1"/>
  <c r="S21" i="16" s="1"/>
  <c r="Q29" i="14"/>
  <c r="R11" i="14" s="1"/>
  <c r="W86" i="6"/>
  <c r="W87" i="6" s="1"/>
  <c r="W125" i="6" s="1"/>
  <c r="AC43" i="14"/>
  <c r="P24" i="14"/>
  <c r="P41" i="14"/>
  <c r="AH81" i="6"/>
  <c r="P27" i="14"/>
  <c r="P28" i="14" s="1"/>
  <c r="Q9" i="14"/>
  <c r="Q10" i="14"/>
  <c r="O72" i="14"/>
  <c r="N65" i="14" l="1"/>
  <c r="N56" i="14" s="1"/>
  <c r="N55" i="14"/>
  <c r="T109" i="5" s="1"/>
  <c r="T110" i="5" s="1"/>
  <c r="T116" i="5" s="1"/>
  <c r="O65" i="14"/>
  <c r="O56" i="14" s="1"/>
  <c r="O55" i="14"/>
  <c r="U109" i="5" s="1"/>
  <c r="U110" i="5" s="1"/>
  <c r="U116" i="5" s="1"/>
  <c r="O73" i="14"/>
  <c r="O53" i="14" s="1"/>
  <c r="O54" i="14" s="1"/>
  <c r="O52" i="14"/>
  <c r="U85" i="5"/>
  <c r="T88" i="5"/>
  <c r="U88" i="5" s="1"/>
  <c r="T87" i="5"/>
  <c r="U87" i="5" s="1"/>
  <c r="P25" i="14"/>
  <c r="P51" i="14" s="1"/>
  <c r="O47" i="14"/>
  <c r="N48" i="14"/>
  <c r="AE17" i="14"/>
  <c r="AD17" i="16"/>
  <c r="S29" i="16"/>
  <c r="T8" i="16" s="1"/>
  <c r="T19" i="16" s="1"/>
  <c r="T21" i="16" s="1"/>
  <c r="Y19" i="6"/>
  <c r="Y20" i="6" s="1"/>
  <c r="Y58" i="6" s="1"/>
  <c r="R8" i="14"/>
  <c r="U96" i="6"/>
  <c r="AD43" i="14"/>
  <c r="Q18" i="14"/>
  <c r="Q20" i="14" s="1"/>
  <c r="U83" i="5"/>
  <c r="P40" i="14"/>
  <c r="P60" i="14" s="1"/>
  <c r="P59" i="14" s="1"/>
  <c r="U101" i="5" l="1"/>
  <c r="U103" i="5" s="1"/>
  <c r="U105" i="5" s="1"/>
  <c r="U100" i="5"/>
  <c r="T101" i="5"/>
  <c r="T103" i="5" s="1"/>
  <c r="T105" i="5" s="1"/>
  <c r="T100" i="5"/>
  <c r="R19" i="14"/>
  <c r="R21" i="14" s="1"/>
  <c r="R29" i="14" s="1"/>
  <c r="T85" i="5"/>
  <c r="O48" i="14"/>
  <c r="U97" i="6" s="1"/>
  <c r="U98" i="6" s="1"/>
  <c r="U134" i="6" s="1"/>
  <c r="N50" i="14"/>
  <c r="T97" i="6"/>
  <c r="T98" i="6" s="1"/>
  <c r="T134" i="6" s="1"/>
  <c r="N49" i="14"/>
  <c r="T93" i="5" s="1"/>
  <c r="Z19" i="6"/>
  <c r="Z20" i="6" s="1"/>
  <c r="Z58" i="6" s="1"/>
  <c r="T29" i="16"/>
  <c r="U8" i="16" s="1"/>
  <c r="U19" i="16" s="1"/>
  <c r="U21" i="16" s="1"/>
  <c r="AF17" i="14"/>
  <c r="AE17" i="16"/>
  <c r="P46" i="14"/>
  <c r="Q26" i="14"/>
  <c r="R9" i="14" s="1"/>
  <c r="W83" i="6"/>
  <c r="X86" i="6"/>
  <c r="X87" i="6" s="1"/>
  <c r="X125" i="6" s="1"/>
  <c r="N84" i="14"/>
  <c r="T90" i="5" s="1"/>
  <c r="R12" i="18"/>
  <c r="AE43" i="14"/>
  <c r="Q22" i="14"/>
  <c r="Q24" i="14" s="1"/>
  <c r="P42" i="14"/>
  <c r="V91" i="6" s="1"/>
  <c r="T106" i="5" l="1"/>
  <c r="U106" i="5"/>
  <c r="O49" i="14"/>
  <c r="U93" i="5" s="1"/>
  <c r="R10" i="14"/>
  <c r="R18" i="14" s="1"/>
  <c r="R20" i="14" s="1"/>
  <c r="Q25" i="14"/>
  <c r="Q51" i="14" s="1"/>
  <c r="P61" i="14"/>
  <c r="P66" i="14" s="1"/>
  <c r="P64" i="14" s="1"/>
  <c r="AA19" i="6"/>
  <c r="AA20" i="6" s="1"/>
  <c r="AA58" i="6" s="1"/>
  <c r="U29" i="16"/>
  <c r="V8" i="16" s="1"/>
  <c r="V19" i="16" s="1"/>
  <c r="V21" i="16" s="1"/>
  <c r="AG17" i="14"/>
  <c r="AF17" i="16"/>
  <c r="P47" i="14"/>
  <c r="P48" i="14" s="1"/>
  <c r="P50" i="14" s="1"/>
  <c r="O50" i="14"/>
  <c r="Q27" i="14"/>
  <c r="Q28" i="14" s="1"/>
  <c r="S8" i="14"/>
  <c r="S19" i="14" s="1"/>
  <c r="S21" i="14" s="1"/>
  <c r="W119" i="6"/>
  <c r="W90" i="6"/>
  <c r="W82" i="6"/>
  <c r="AF43" i="14"/>
  <c r="Q41" i="14"/>
  <c r="P72" i="14"/>
  <c r="Q40" i="14"/>
  <c r="W93" i="6" l="1"/>
  <c r="W122" i="5" s="1"/>
  <c r="W133" i="5"/>
  <c r="P65" i="14"/>
  <c r="P56" i="14" s="1"/>
  <c r="P55" i="14"/>
  <c r="V109" i="5" s="1"/>
  <c r="V110" i="5" s="1"/>
  <c r="V116" i="5" s="1"/>
  <c r="P73" i="14"/>
  <c r="P53" i="14" s="1"/>
  <c r="P54" i="14" s="1"/>
  <c r="P52" i="14"/>
  <c r="V83" i="5" s="1"/>
  <c r="V87" i="5"/>
  <c r="V88" i="5"/>
  <c r="AB19" i="6"/>
  <c r="AB20" i="6" s="1"/>
  <c r="AB58" i="6" s="1"/>
  <c r="V29" i="16"/>
  <c r="W8" i="16" s="1"/>
  <c r="W19" i="16" s="1"/>
  <c r="W21" i="16" s="1"/>
  <c r="AH17" i="14"/>
  <c r="AG17" i="16"/>
  <c r="P49" i="14"/>
  <c r="V93" i="5" s="1"/>
  <c r="Q60" i="14"/>
  <c r="Q59" i="14" s="1"/>
  <c r="R26" i="14"/>
  <c r="S9" i="14" s="1"/>
  <c r="X83" i="6"/>
  <c r="O84" i="14"/>
  <c r="U90" i="5" s="1"/>
  <c r="S12" i="18"/>
  <c r="V96" i="6"/>
  <c r="S29" i="14"/>
  <c r="T8" i="14" s="1"/>
  <c r="T19" i="14" s="1"/>
  <c r="T21" i="14" s="1"/>
  <c r="Y86" i="6"/>
  <c r="Y87" i="6" s="1"/>
  <c r="Y125" i="6" s="1"/>
  <c r="AG43" i="14"/>
  <c r="R22" i="14"/>
  <c r="R41" i="14" s="1"/>
  <c r="Q42" i="14"/>
  <c r="W91" i="6" s="1"/>
  <c r="V101" i="5" l="1"/>
  <c r="V103" i="5" s="1"/>
  <c r="V105" i="5" s="1"/>
  <c r="V100" i="5"/>
  <c r="V85" i="5"/>
  <c r="AC19" i="6"/>
  <c r="AC20" i="6" s="1"/>
  <c r="AC58" i="6" s="1"/>
  <c r="W29" i="16"/>
  <c r="X8" i="16" s="1"/>
  <c r="X19" i="16" s="1"/>
  <c r="X21" i="16" s="1"/>
  <c r="AI17" i="14"/>
  <c r="AH17" i="16"/>
  <c r="Q46" i="14"/>
  <c r="R27" i="14"/>
  <c r="R28" i="14" s="1"/>
  <c r="S10" i="14"/>
  <c r="S18" i="14" s="1"/>
  <c r="S20" i="14" s="1"/>
  <c r="T29" i="14"/>
  <c r="U8" i="14" s="1"/>
  <c r="U19" i="14" s="1"/>
  <c r="U21" i="14" s="1"/>
  <c r="Z86" i="6"/>
  <c r="Z87" i="6" s="1"/>
  <c r="Z125" i="6" s="1"/>
  <c r="X119" i="6"/>
  <c r="X90" i="6"/>
  <c r="X82" i="6"/>
  <c r="V97" i="6"/>
  <c r="V98" i="6" s="1"/>
  <c r="V134" i="6" s="1"/>
  <c r="AH43" i="14"/>
  <c r="R24" i="14"/>
  <c r="Q72" i="14"/>
  <c r="X93" i="6" l="1"/>
  <c r="X122" i="5" s="1"/>
  <c r="X133" i="5"/>
  <c r="V106" i="5"/>
  <c r="Q73" i="14"/>
  <c r="Q53" i="14" s="1"/>
  <c r="Q54" i="14" s="1"/>
  <c r="Q52" i="14"/>
  <c r="Q61" i="14"/>
  <c r="Q66" i="14" s="1"/>
  <c r="Q64" i="14" s="1"/>
  <c r="AJ17" i="14"/>
  <c r="AI17" i="16"/>
  <c r="AD19" i="6"/>
  <c r="AD20" i="6" s="1"/>
  <c r="AD58" i="6" s="1"/>
  <c r="X29" i="16"/>
  <c r="Y8" i="16" s="1"/>
  <c r="Y19" i="16" s="1"/>
  <c r="Y21" i="16" s="1"/>
  <c r="Q47" i="14"/>
  <c r="W96" i="6"/>
  <c r="S22" i="14"/>
  <c r="S24" i="14" s="1"/>
  <c r="Y83" i="6"/>
  <c r="AA86" i="6"/>
  <c r="AA87" i="6" s="1"/>
  <c r="AA125" i="6" s="1"/>
  <c r="U29" i="14"/>
  <c r="V8" i="14" s="1"/>
  <c r="V19" i="14" s="1"/>
  <c r="V21" i="14" s="1"/>
  <c r="AI43" i="14"/>
  <c r="S26" i="14"/>
  <c r="T9" i="14" s="1"/>
  <c r="R40" i="14"/>
  <c r="R60" i="14" s="1"/>
  <c r="R59" i="14" s="1"/>
  <c r="R25" i="14"/>
  <c r="R51" i="14" s="1"/>
  <c r="W83" i="5"/>
  <c r="W87" i="5" l="1"/>
  <c r="Q65" i="14"/>
  <c r="Q56" i="14" s="1"/>
  <c r="Q55" i="14"/>
  <c r="W109" i="5" s="1"/>
  <c r="W110" i="5" s="1"/>
  <c r="W116" i="5" s="1"/>
  <c r="W85" i="5"/>
  <c r="W88" i="5"/>
  <c r="S25" i="14"/>
  <c r="S51" i="14" s="1"/>
  <c r="AE19" i="6"/>
  <c r="AE20" i="6" s="1"/>
  <c r="AE58" i="6" s="1"/>
  <c r="Y29" i="16"/>
  <c r="Z8" i="16" s="1"/>
  <c r="Z19" i="16" s="1"/>
  <c r="Z21" i="16" s="1"/>
  <c r="Q48" i="14"/>
  <c r="W97" i="6" s="1"/>
  <c r="W98" i="6" s="1"/>
  <c r="W134" i="6" s="1"/>
  <c r="AK17" i="14"/>
  <c r="AJ17" i="16"/>
  <c r="R46" i="14"/>
  <c r="R47" i="14" s="1"/>
  <c r="S41" i="14"/>
  <c r="P84" i="14"/>
  <c r="V90" i="5" s="1"/>
  <c r="T12" i="18"/>
  <c r="AB86" i="6"/>
  <c r="AB87" i="6" s="1"/>
  <c r="AB125" i="6" s="1"/>
  <c r="V29" i="14"/>
  <c r="W8" i="14" s="1"/>
  <c r="W19" i="14" s="1"/>
  <c r="W21" i="14" s="1"/>
  <c r="Y119" i="6"/>
  <c r="Y90" i="6"/>
  <c r="Y82" i="6"/>
  <c r="AJ43" i="14"/>
  <c r="R42" i="14"/>
  <c r="X91" i="6" s="1"/>
  <c r="T10" i="14"/>
  <c r="T18" i="14" s="1"/>
  <c r="T20" i="14" s="1"/>
  <c r="S27" i="14"/>
  <c r="S28" i="14" s="1"/>
  <c r="S40" i="14"/>
  <c r="Y93" i="6" l="1"/>
  <c r="Y122" i="5" s="1"/>
  <c r="Y133" i="5"/>
  <c r="W101" i="5"/>
  <c r="W103" i="5" s="1"/>
  <c r="W105" i="5" s="1"/>
  <c r="W100" i="5"/>
  <c r="R61" i="14"/>
  <c r="R66" i="14" s="1"/>
  <c r="R64" i="14" s="1"/>
  <c r="Q49" i="14"/>
  <c r="W93" i="5" s="1"/>
  <c r="AL17" i="14"/>
  <c r="AK17" i="16"/>
  <c r="AF19" i="6"/>
  <c r="AF20" i="6" s="1"/>
  <c r="AF58" i="6" s="1"/>
  <c r="Z29" i="16"/>
  <c r="AA8" i="16" s="1"/>
  <c r="AA19" i="16" s="1"/>
  <c r="AA21" i="16" s="1"/>
  <c r="R48" i="14"/>
  <c r="R49" i="14" s="1"/>
  <c r="X93" i="5" s="1"/>
  <c r="Q50" i="14"/>
  <c r="S60" i="14"/>
  <c r="S59" i="14" s="1"/>
  <c r="T22" i="14"/>
  <c r="T41" i="14" s="1"/>
  <c r="Z83" i="6"/>
  <c r="AC86" i="6"/>
  <c r="AC87" i="6" s="1"/>
  <c r="AC125" i="6" s="1"/>
  <c r="W29" i="14"/>
  <c r="X8" i="14" s="1"/>
  <c r="X19" i="14" s="1"/>
  <c r="X21" i="14" s="1"/>
  <c r="R72" i="14"/>
  <c r="AK43" i="14"/>
  <c r="T26" i="14"/>
  <c r="S42" i="14"/>
  <c r="Y91" i="6" s="1"/>
  <c r="W106" i="5" l="1"/>
  <c r="R65" i="14"/>
  <c r="R56" i="14" s="1"/>
  <c r="R55" i="14"/>
  <c r="X109" i="5" s="1"/>
  <c r="X110" i="5" s="1"/>
  <c r="X116" i="5" s="1"/>
  <c r="R73" i="14"/>
  <c r="R53" i="14" s="1"/>
  <c r="R54" i="14" s="1"/>
  <c r="R52" i="14"/>
  <c r="X85" i="5"/>
  <c r="X88" i="5"/>
  <c r="X87" i="5"/>
  <c r="T24" i="14"/>
  <c r="T40" i="14" s="1"/>
  <c r="T60" i="14" s="1"/>
  <c r="T59" i="14" s="1"/>
  <c r="R50" i="14"/>
  <c r="AG19" i="6"/>
  <c r="AG20" i="6" s="1"/>
  <c r="AG58" i="6" s="1"/>
  <c r="AA29" i="16"/>
  <c r="AB8" i="16" s="1"/>
  <c r="AB19" i="16" s="1"/>
  <c r="AB21" i="16" s="1"/>
  <c r="AM17" i="14"/>
  <c r="AL17" i="16"/>
  <c r="S46" i="14"/>
  <c r="Z82" i="6"/>
  <c r="Z119" i="6"/>
  <c r="Z90" i="6"/>
  <c r="Q84" i="14"/>
  <c r="W90" i="5" s="1"/>
  <c r="U12" i="18"/>
  <c r="X96" i="6"/>
  <c r="AD86" i="6"/>
  <c r="AD87" i="6" s="1"/>
  <c r="AD125" i="6" s="1"/>
  <c r="X29" i="14"/>
  <c r="Y8" i="14" s="1"/>
  <c r="Y19" i="14" s="1"/>
  <c r="Y21" i="14" s="1"/>
  <c r="X83" i="5"/>
  <c r="AL43" i="14"/>
  <c r="U10" i="14"/>
  <c r="U9" i="14"/>
  <c r="T27" i="14"/>
  <c r="T28" i="14" s="1"/>
  <c r="S72" i="14"/>
  <c r="X101" i="5" l="1"/>
  <c r="X103" i="5" s="1"/>
  <c r="X105" i="5" s="1"/>
  <c r="X100" i="5"/>
  <c r="Z93" i="6"/>
  <c r="Z122" i="5" s="1"/>
  <c r="Z133" i="5"/>
  <c r="S73" i="14"/>
  <c r="S53" i="14" s="1"/>
  <c r="S54" i="14" s="1"/>
  <c r="S52" i="14"/>
  <c r="T25" i="14"/>
  <c r="T51" i="14" s="1"/>
  <c r="S61" i="14"/>
  <c r="S66" i="14" s="1"/>
  <c r="S64" i="14" s="1"/>
  <c r="AN17" i="14"/>
  <c r="AM17" i="16"/>
  <c r="AH19" i="6"/>
  <c r="AH20" i="6" s="1"/>
  <c r="D38" i="21" s="1" a="1"/>
  <c r="AB29" i="16"/>
  <c r="AC8" i="16" s="1"/>
  <c r="AC19" i="16" s="1"/>
  <c r="AC21" i="16" s="1"/>
  <c r="AC29" i="16" s="1"/>
  <c r="AD8" i="16" s="1"/>
  <c r="AD19" i="16" s="1"/>
  <c r="AD21" i="16" s="1"/>
  <c r="AD29" i="16" s="1"/>
  <c r="AE8" i="16" s="1"/>
  <c r="AE19" i="16" s="1"/>
  <c r="AE21" i="16" s="1"/>
  <c r="AE29" i="16" s="1"/>
  <c r="AF8" i="16" s="1"/>
  <c r="AF19" i="16" s="1"/>
  <c r="AF21" i="16" s="1"/>
  <c r="AF29" i="16" s="1"/>
  <c r="AG8" i="16" s="1"/>
  <c r="AG19" i="16" s="1"/>
  <c r="AG21" i="16" s="1"/>
  <c r="AG29" i="16" s="1"/>
  <c r="AH8" i="16" s="1"/>
  <c r="AH19" i="16" s="1"/>
  <c r="AH21" i="16" s="1"/>
  <c r="AH29" i="16" s="1"/>
  <c r="AI8" i="16" s="1"/>
  <c r="AI19" i="16" s="1"/>
  <c r="AI21" i="16" s="1"/>
  <c r="AI29" i="16" s="1"/>
  <c r="AJ8" i="16" s="1"/>
  <c r="AJ19" i="16" s="1"/>
  <c r="AJ21" i="16" s="1"/>
  <c r="AJ29" i="16" s="1"/>
  <c r="AK8" i="16" s="1"/>
  <c r="AK19" i="16" s="1"/>
  <c r="AK21" i="16" s="1"/>
  <c r="AK29" i="16" s="1"/>
  <c r="AL8" i="16" s="1"/>
  <c r="AL19" i="16" s="1"/>
  <c r="AL21" i="16" s="1"/>
  <c r="AL29" i="16" s="1"/>
  <c r="AM8" i="16" s="1"/>
  <c r="AM19" i="16" s="1"/>
  <c r="AM21" i="16" s="1"/>
  <c r="S47" i="14"/>
  <c r="T46" i="14"/>
  <c r="Y96" i="6"/>
  <c r="X97" i="6"/>
  <c r="X98" i="6" s="1"/>
  <c r="X134" i="6" s="1"/>
  <c r="AE86" i="6"/>
  <c r="AE87" i="6" s="1"/>
  <c r="AE125" i="6" s="1"/>
  <c r="Y29" i="14"/>
  <c r="Z8" i="14" s="1"/>
  <c r="Z19" i="14" s="1"/>
  <c r="Z21" i="14" s="1"/>
  <c r="U18" i="14"/>
  <c r="U20" i="14" s="1"/>
  <c r="AM43" i="14"/>
  <c r="Y83" i="5"/>
  <c r="T42" i="14"/>
  <c r="Z91" i="6" s="1"/>
  <c r="D39" i="21" l="1"/>
  <c r="D38" i="21"/>
  <c r="D46" i="21"/>
  <c r="D54" i="21"/>
  <c r="D62" i="21"/>
  <c r="D41" i="21"/>
  <c r="D49" i="21"/>
  <c r="D57" i="21"/>
  <c r="D65" i="21"/>
  <c r="D42" i="21"/>
  <c r="D50" i="21"/>
  <c r="D58" i="21"/>
  <c r="D66" i="21"/>
  <c r="D45" i="21"/>
  <c r="D53" i="21"/>
  <c r="D61" i="21"/>
  <c r="D60" i="21"/>
  <c r="D44" i="21"/>
  <c r="D59" i="21"/>
  <c r="D43" i="21"/>
  <c r="D63" i="21"/>
  <c r="D56" i="21"/>
  <c r="D40" i="21"/>
  <c r="D55" i="21"/>
  <c r="D64" i="21"/>
  <c r="D47" i="21"/>
  <c r="D52" i="21"/>
  <c r="D67" i="21"/>
  <c r="D51" i="21"/>
  <c r="D48" i="21"/>
  <c r="X106" i="5"/>
  <c r="S65" i="14"/>
  <c r="S56" i="14" s="1"/>
  <c r="S55" i="14"/>
  <c r="Y109" i="5" s="1"/>
  <c r="Y110" i="5" s="1"/>
  <c r="Y116" i="5" s="1"/>
  <c r="AM29" i="16"/>
  <c r="AN8" i="16" s="1"/>
  <c r="AN19" i="16" s="1"/>
  <c r="AN21" i="16" s="1"/>
  <c r="Y88" i="5"/>
  <c r="Y87" i="5"/>
  <c r="T61" i="14"/>
  <c r="T66" i="14" s="1"/>
  <c r="T64" i="14" s="1"/>
  <c r="T47" i="14"/>
  <c r="S48" i="14"/>
  <c r="Y97" i="6" s="1"/>
  <c r="Y98" i="6" s="1"/>
  <c r="Y134" i="6" s="1"/>
  <c r="AH58" i="6"/>
  <c r="AO17" i="14"/>
  <c r="AO17" i="16" s="1"/>
  <c r="AN17" i="16"/>
  <c r="AF86" i="6"/>
  <c r="AF87" i="6" s="1"/>
  <c r="AF125" i="6" s="1"/>
  <c r="Z29" i="14"/>
  <c r="AA8" i="14" s="1"/>
  <c r="AA19" i="14" s="1"/>
  <c r="AA21" i="14" s="1"/>
  <c r="U22" i="14"/>
  <c r="U41" i="14" s="1"/>
  <c r="AA83" i="6"/>
  <c r="R84" i="14"/>
  <c r="X90" i="5" s="1"/>
  <c r="V12" i="18"/>
  <c r="U26" i="14"/>
  <c r="U27" i="14" s="1"/>
  <c r="U28" i="14" s="1"/>
  <c r="AO43" i="14"/>
  <c r="AN43" i="14"/>
  <c r="T72" i="14"/>
  <c r="Y101" i="5" l="1"/>
  <c r="Y103" i="5" s="1"/>
  <c r="Y105" i="5" s="1"/>
  <c r="Y100" i="5"/>
  <c r="T65" i="14"/>
  <c r="T56" i="14" s="1"/>
  <c r="T55" i="14"/>
  <c r="Z109" i="5" s="1"/>
  <c r="Z110" i="5" s="1"/>
  <c r="Z116" i="5" s="1"/>
  <c r="AN29" i="16"/>
  <c r="AO8" i="16" s="1"/>
  <c r="AO19" i="16" s="1"/>
  <c r="AO21" i="16" s="1"/>
  <c r="AO29" i="16" s="1"/>
  <c r="T73" i="14"/>
  <c r="T53" i="14" s="1"/>
  <c r="T54" i="14" s="1"/>
  <c r="T52" i="14"/>
  <c r="Z87" i="5"/>
  <c r="Z85" i="5"/>
  <c r="Z88" i="5"/>
  <c r="T48" i="14"/>
  <c r="S50" i="14"/>
  <c r="U24" i="14"/>
  <c r="S49" i="14"/>
  <c r="Y93" i="5" s="1"/>
  <c r="AA119" i="6"/>
  <c r="AA90" i="6"/>
  <c r="AA82" i="6"/>
  <c r="AG86" i="6"/>
  <c r="AG87" i="6" s="1"/>
  <c r="AG125" i="6" s="1"/>
  <c r="AA29" i="14"/>
  <c r="AB8" i="14" s="1"/>
  <c r="AB19" i="14" s="1"/>
  <c r="AB21" i="14" s="1"/>
  <c r="Z96" i="6"/>
  <c r="V9" i="14"/>
  <c r="V10" i="14"/>
  <c r="Z83" i="5"/>
  <c r="AA93" i="6" l="1"/>
  <c r="AA122" i="5" s="1"/>
  <c r="AA133" i="5"/>
  <c r="Z101" i="5"/>
  <c r="Z103" i="5" s="1"/>
  <c r="Z105" i="5" s="1"/>
  <c r="Z100" i="5"/>
  <c r="Y106" i="5"/>
  <c r="U25" i="14"/>
  <c r="U51" i="14" s="1"/>
  <c r="Y85" i="5"/>
  <c r="T50" i="14"/>
  <c r="U40" i="14"/>
  <c r="U42" i="14" s="1"/>
  <c r="AA91" i="6" s="1"/>
  <c r="T49" i="14"/>
  <c r="Z93" i="5" s="1"/>
  <c r="S84" i="14"/>
  <c r="Y90" i="5" s="1"/>
  <c r="W12" i="18"/>
  <c r="Z97" i="6"/>
  <c r="Z98" i="6" s="1"/>
  <c r="Z134" i="6" s="1"/>
  <c r="AH86" i="6"/>
  <c r="AH87" i="6" s="1"/>
  <c r="D4" i="21" s="1" a="1"/>
  <c r="AB29" i="14"/>
  <c r="AC8" i="14" s="1"/>
  <c r="AC19" i="14" s="1"/>
  <c r="AC21" i="14" s="1"/>
  <c r="AC29" i="14" s="1"/>
  <c r="AD8" i="14" s="1"/>
  <c r="AD19" i="14" s="1"/>
  <c r="AD21" i="14" s="1"/>
  <c r="AD29" i="14" s="1"/>
  <c r="AE8" i="14" s="1"/>
  <c r="AE19" i="14" s="1"/>
  <c r="AE21" i="14" s="1"/>
  <c r="AE29" i="14" s="1"/>
  <c r="AF8" i="14" s="1"/>
  <c r="AF19" i="14" s="1"/>
  <c r="AF21" i="14" s="1"/>
  <c r="AF29" i="14" s="1"/>
  <c r="AG8" i="14" s="1"/>
  <c r="AG19" i="14" s="1"/>
  <c r="AG21" i="14" s="1"/>
  <c r="AG29" i="14" s="1"/>
  <c r="AH8" i="14" s="1"/>
  <c r="AH19" i="14" s="1"/>
  <c r="AH21" i="14" s="1"/>
  <c r="AH29" i="14" s="1"/>
  <c r="AI8" i="14" s="1"/>
  <c r="AI19" i="14" s="1"/>
  <c r="AI21" i="14" s="1"/>
  <c r="V18" i="14"/>
  <c r="V20" i="14" s="1"/>
  <c r="D11" i="12"/>
  <c r="E11" i="12" s="1"/>
  <c r="F11" i="12" s="1"/>
  <c r="G11" i="12" s="1"/>
  <c r="H11" i="12" s="1"/>
  <c r="I11" i="12" s="1"/>
  <c r="J11" i="12" s="1"/>
  <c r="K11" i="12" s="1"/>
  <c r="L11" i="12" s="1"/>
  <c r="F7" i="12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O74" i="1"/>
  <c r="O73" i="1"/>
  <c r="P70" i="1"/>
  <c r="Q70" i="1"/>
  <c r="Q40" i="5" s="1"/>
  <c r="Q108" i="5" s="1"/>
  <c r="Q112" i="5" s="1"/>
  <c r="Q121" i="5" s="1"/>
  <c r="Q124" i="5" s="1"/>
  <c r="W70" i="1"/>
  <c r="W40" i="5" s="1"/>
  <c r="W108" i="5" s="1"/>
  <c r="W112" i="5" s="1"/>
  <c r="W121" i="5" s="1"/>
  <c r="W124" i="5" s="1"/>
  <c r="O70" i="1"/>
  <c r="AY70" i="1"/>
  <c r="D6" i="21" l="1"/>
  <c r="D4" i="21"/>
  <c r="D9" i="21"/>
  <c r="D15" i="21"/>
  <c r="D20" i="21"/>
  <c r="D25" i="21"/>
  <c r="D31" i="21"/>
  <c r="D5" i="21"/>
  <c r="D11" i="21"/>
  <c r="D16" i="21"/>
  <c r="D21" i="21"/>
  <c r="D27" i="21"/>
  <c r="D32" i="21"/>
  <c r="D7" i="21"/>
  <c r="D12" i="21"/>
  <c r="D17" i="21"/>
  <c r="D23" i="21"/>
  <c r="D28" i="21"/>
  <c r="D33" i="21"/>
  <c r="D13" i="21"/>
  <c r="D24" i="21"/>
  <c r="D8" i="21"/>
  <c r="D19" i="21"/>
  <c r="D29" i="21"/>
  <c r="D22" i="21"/>
  <c r="D14" i="21"/>
  <c r="D18" i="21"/>
  <c r="D30" i="21"/>
  <c r="D10" i="21"/>
  <c r="D26" i="21"/>
  <c r="Z106" i="5"/>
  <c r="U60" i="14"/>
  <c r="Q84" i="5"/>
  <c r="AH125" i="6"/>
  <c r="V22" i="14"/>
  <c r="AB83" i="6"/>
  <c r="Q71" i="1"/>
  <c r="V26" i="14"/>
  <c r="W10" i="14" s="1"/>
  <c r="U72" i="14"/>
  <c r="AI29" i="14"/>
  <c r="AJ8" i="14" s="1"/>
  <c r="AJ19" i="14" s="1"/>
  <c r="AJ21" i="14" s="1"/>
  <c r="AN70" i="1"/>
  <c r="P71" i="1"/>
  <c r="P68" i="6" s="1"/>
  <c r="P135" i="6" s="1"/>
  <c r="AF70" i="1"/>
  <c r="AV70" i="1"/>
  <c r="AS70" i="1"/>
  <c r="AK70" i="1"/>
  <c r="AC70" i="1"/>
  <c r="AR70" i="1"/>
  <c r="AJ70" i="1"/>
  <c r="AW70" i="1"/>
  <c r="AO70" i="1"/>
  <c r="AG70" i="1"/>
  <c r="AU70" i="1"/>
  <c r="AQ70" i="1"/>
  <c r="AM70" i="1"/>
  <c r="AI70" i="1"/>
  <c r="AE70" i="1"/>
  <c r="AX70" i="1"/>
  <c r="AX71" i="1" s="1"/>
  <c r="AT70" i="1"/>
  <c r="AP70" i="1"/>
  <c r="AL70" i="1"/>
  <c r="AH70" i="1"/>
  <c r="AD70" i="1"/>
  <c r="AD71" i="1" l="1"/>
  <c r="AC71" i="1"/>
  <c r="U73" i="14"/>
  <c r="U53" i="14" s="1"/>
  <c r="U54" i="14" s="1"/>
  <c r="U52" i="14"/>
  <c r="Q16" i="5"/>
  <c r="Q82" i="5"/>
  <c r="U59" i="14"/>
  <c r="U61" i="14" s="1"/>
  <c r="U66" i="14" s="1"/>
  <c r="U64" i="14" s="1"/>
  <c r="W9" i="14"/>
  <c r="Q68" i="6"/>
  <c r="Q135" i="6" s="1"/>
  <c r="AB119" i="6"/>
  <c r="AB90" i="6"/>
  <c r="AB82" i="6"/>
  <c r="T84" i="14"/>
  <c r="Z90" i="5" s="1"/>
  <c r="X12" i="18"/>
  <c r="V24" i="14"/>
  <c r="V41" i="14"/>
  <c r="V27" i="14"/>
  <c r="V28" i="14" s="1"/>
  <c r="AA83" i="5"/>
  <c r="O92" i="5"/>
  <c r="O99" i="5" s="1"/>
  <c r="O26" i="5"/>
  <c r="O24" i="5" s="1"/>
  <c r="W18" i="14"/>
  <c r="W20" i="14" s="1"/>
  <c r="AJ29" i="14"/>
  <c r="AK8" i="14" s="1"/>
  <c r="AK19" i="14" s="1"/>
  <c r="AK21" i="14" s="1"/>
  <c r="AG71" i="1"/>
  <c r="AO71" i="1"/>
  <c r="AW71" i="1"/>
  <c r="AH71" i="1"/>
  <c r="AQ71" i="1"/>
  <c r="AK71" i="1"/>
  <c r="AE71" i="1"/>
  <c r="AU71" i="1"/>
  <c r="AJ71" i="1"/>
  <c r="AS71" i="1"/>
  <c r="AP71" i="1"/>
  <c r="AF71" i="1"/>
  <c r="AY71" i="1"/>
  <c r="AI71" i="1"/>
  <c r="AR71" i="1"/>
  <c r="AL71" i="1"/>
  <c r="AT71" i="1"/>
  <c r="AM71" i="1"/>
  <c r="AV71" i="1"/>
  <c r="AN71" i="1"/>
  <c r="AB93" i="6" l="1"/>
  <c r="AB122" i="5" s="1"/>
  <c r="AB133" i="5"/>
  <c r="U65" i="14"/>
  <c r="U56" i="14" s="1"/>
  <c r="U55" i="14"/>
  <c r="AA109" i="5" s="1"/>
  <c r="AA110" i="5" s="1"/>
  <c r="AA116" i="5" s="1"/>
  <c r="U46" i="14"/>
  <c r="AA87" i="5"/>
  <c r="AA88" i="5"/>
  <c r="O31" i="5"/>
  <c r="V25" i="14"/>
  <c r="V51" i="14" s="1"/>
  <c r="V40" i="14"/>
  <c r="V60" i="14" s="1"/>
  <c r="V59" i="14" s="1"/>
  <c r="W22" i="14"/>
  <c r="W41" i="14" s="1"/>
  <c r="AC83" i="6"/>
  <c r="W26" i="14"/>
  <c r="X9" i="14" s="1"/>
  <c r="AK29" i="14"/>
  <c r="AL8" i="14" s="1"/>
  <c r="AL19" i="14" s="1"/>
  <c r="AL21" i="14" s="1"/>
  <c r="AL29" i="14" s="1"/>
  <c r="AM8" i="14" s="1"/>
  <c r="AM19" i="14" s="1"/>
  <c r="AM21" i="14" s="1"/>
  <c r="AA101" i="5" l="1"/>
  <c r="AA103" i="5" s="1"/>
  <c r="AA105" i="5" s="1"/>
  <c r="AA100" i="5"/>
  <c r="AA96" i="6"/>
  <c r="U47" i="14"/>
  <c r="U48" i="14" s="1"/>
  <c r="AA97" i="6" s="1"/>
  <c r="V46" i="14"/>
  <c r="W27" i="14"/>
  <c r="W28" i="14" s="1"/>
  <c r="W24" i="14"/>
  <c r="V42" i="14"/>
  <c r="AB91" i="6" s="1"/>
  <c r="AC119" i="6"/>
  <c r="AC90" i="6"/>
  <c r="AC82" i="6"/>
  <c r="U84" i="14"/>
  <c r="AA90" i="5" s="1"/>
  <c r="Y12" i="18"/>
  <c r="X10" i="14"/>
  <c r="X18" i="14" s="1"/>
  <c r="X20" i="14" s="1"/>
  <c r="AD83" i="6" s="1"/>
  <c r="P92" i="5"/>
  <c r="P26" i="5"/>
  <c r="P24" i="5" s="1"/>
  <c r="AM29" i="14"/>
  <c r="AN8" i="14" s="1"/>
  <c r="AN19" i="14" s="1"/>
  <c r="AN21" i="14" s="1"/>
  <c r="AN29" i="14" s="1"/>
  <c r="AO8" i="14" s="1"/>
  <c r="AO19" i="14" s="1"/>
  <c r="AO21" i="14" s="1"/>
  <c r="AO29" i="14" s="1"/>
  <c r="AA106" i="5" l="1"/>
  <c r="AC93" i="6"/>
  <c r="AC122" i="5" s="1"/>
  <c r="AC133" i="5"/>
  <c r="U50" i="14"/>
  <c r="U49" i="14"/>
  <c r="AA93" i="5" s="1"/>
  <c r="AA98" i="6"/>
  <c r="AA134" i="6" s="1"/>
  <c r="W25" i="14"/>
  <c r="W51" i="14" s="1"/>
  <c r="AA85" i="5"/>
  <c r="V47" i="14"/>
  <c r="V61" i="14"/>
  <c r="V66" i="14" s="1"/>
  <c r="V64" i="14" s="1"/>
  <c r="W40" i="14"/>
  <c r="AD119" i="6"/>
  <c r="AD90" i="6"/>
  <c r="AD82" i="6"/>
  <c r="V72" i="14"/>
  <c r="Q92" i="5"/>
  <c r="Q26" i="5"/>
  <c r="Q24" i="5" s="1"/>
  <c r="X26" i="14"/>
  <c r="Y9" i="14" s="1"/>
  <c r="X22" i="14"/>
  <c r="AD93" i="6" l="1"/>
  <c r="AD122" i="5" s="1"/>
  <c r="AD133" i="5"/>
  <c r="V65" i="14"/>
  <c r="V56" i="14" s="1"/>
  <c r="V55" i="14"/>
  <c r="AB109" i="5" s="1"/>
  <c r="AB110" i="5" s="1"/>
  <c r="AB116" i="5" s="1"/>
  <c r="V73" i="14"/>
  <c r="V53" i="14" s="1"/>
  <c r="V54" i="14" s="1"/>
  <c r="V52" i="14"/>
  <c r="AB88" i="5"/>
  <c r="AB87" i="5"/>
  <c r="V48" i="14"/>
  <c r="V49" i="14" s="1"/>
  <c r="AB93" i="5" s="1"/>
  <c r="W60" i="14"/>
  <c r="W59" i="14" s="1"/>
  <c r="W42" i="14"/>
  <c r="AC91" i="6" s="1"/>
  <c r="X27" i="14"/>
  <c r="X28" i="14" s="1"/>
  <c r="Y10" i="14"/>
  <c r="X24" i="14"/>
  <c r="X41" i="14"/>
  <c r="W72" i="14"/>
  <c r="AB101" i="5" l="1"/>
  <c r="AB103" i="5" s="1"/>
  <c r="AB105" i="5" s="1"/>
  <c r="AB100" i="5"/>
  <c r="W73" i="14"/>
  <c r="W53" i="14" s="1"/>
  <c r="W54" i="14" s="1"/>
  <c r="W52" i="14"/>
  <c r="X25" i="14"/>
  <c r="X51" i="14" s="1"/>
  <c r="AB85" i="5"/>
  <c r="V50" i="14"/>
  <c r="W46" i="14"/>
  <c r="AC96" i="6" s="1"/>
  <c r="AB83" i="5"/>
  <c r="AB96" i="6"/>
  <c r="X40" i="14"/>
  <c r="X60" i="14" s="1"/>
  <c r="X59" i="14" s="1"/>
  <c r="AC83" i="5"/>
  <c r="Y18" i="14"/>
  <c r="Y20" i="14" s="1"/>
  <c r="AE83" i="6" s="1"/>
  <c r="AB106" i="5" l="1"/>
  <c r="W61" i="14"/>
  <c r="W66" i="14" s="1"/>
  <c r="W64" i="14" s="1"/>
  <c r="W47" i="14"/>
  <c r="X46" i="14"/>
  <c r="AE119" i="6"/>
  <c r="AE82" i="6"/>
  <c r="AE90" i="6"/>
  <c r="AB97" i="6"/>
  <c r="AB98" i="6" s="1"/>
  <c r="AB134" i="6" s="1"/>
  <c r="Y26" i="14"/>
  <c r="Z9" i="14" s="1"/>
  <c r="Y22" i="14"/>
  <c r="X42" i="14"/>
  <c r="AD91" i="6" s="1"/>
  <c r="AE93" i="6" l="1"/>
  <c r="AE122" i="5" s="1"/>
  <c r="AE133" i="5"/>
  <c r="W55" i="14"/>
  <c r="AC109" i="5" s="1"/>
  <c r="AC110" i="5" s="1"/>
  <c r="AC116" i="5" s="1"/>
  <c r="W65" i="14"/>
  <c r="W56" i="14" s="1"/>
  <c r="AC88" i="5"/>
  <c r="AC85" i="5"/>
  <c r="AC87" i="5"/>
  <c r="X61" i="14"/>
  <c r="X66" i="14" s="1"/>
  <c r="X64" i="14" s="1"/>
  <c r="X47" i="14"/>
  <c r="W48" i="14"/>
  <c r="V84" i="14"/>
  <c r="AB90" i="5" s="1"/>
  <c r="Z12" i="18"/>
  <c r="Y41" i="14"/>
  <c r="Y24" i="14"/>
  <c r="Y27" i="14"/>
  <c r="Y28" i="14" s="1"/>
  <c r="Z10" i="14"/>
  <c r="X72" i="14"/>
  <c r="AC101" i="5" l="1"/>
  <c r="AC103" i="5" s="1"/>
  <c r="AC105" i="5" s="1"/>
  <c r="AC100" i="5"/>
  <c r="X65" i="14"/>
  <c r="X56" i="14" s="1"/>
  <c r="X55" i="14"/>
  <c r="AD109" i="5" s="1"/>
  <c r="AD110" i="5" s="1"/>
  <c r="AD116" i="5" s="1"/>
  <c r="X73" i="14"/>
  <c r="X53" i="14" s="1"/>
  <c r="X54" i="14" s="1"/>
  <c r="X52" i="14"/>
  <c r="AD83" i="5" s="1"/>
  <c r="AD87" i="5"/>
  <c r="AD85" i="5"/>
  <c r="AD88" i="5"/>
  <c r="Y25" i="14"/>
  <c r="Y51" i="14" s="1"/>
  <c r="X48" i="14"/>
  <c r="X49" i="14" s="1"/>
  <c r="AD93" i="5" s="1"/>
  <c r="W50" i="14"/>
  <c r="AC97" i="6"/>
  <c r="AC98" i="6" s="1"/>
  <c r="AC134" i="6" s="1"/>
  <c r="W49" i="14"/>
  <c r="AC93" i="5" s="1"/>
  <c r="AD96" i="6"/>
  <c r="W84" i="14"/>
  <c r="AC90" i="5" s="1"/>
  <c r="AA12" i="18"/>
  <c r="Z18" i="14"/>
  <c r="Z20" i="14" s="1"/>
  <c r="AF83" i="6" s="1"/>
  <c r="Y40" i="14"/>
  <c r="Y60" i="14" s="1"/>
  <c r="Y59" i="14" s="1"/>
  <c r="AC106" i="5" l="1"/>
  <c r="AD101" i="5"/>
  <c r="AD103" i="5" s="1"/>
  <c r="AD105" i="5" s="1"/>
  <c r="AD100" i="5"/>
  <c r="X50" i="14"/>
  <c r="Y46" i="14"/>
  <c r="AF119" i="6"/>
  <c r="AF82" i="6"/>
  <c r="AF90" i="6"/>
  <c r="AD97" i="6"/>
  <c r="AD98" i="6" s="1"/>
  <c r="AD134" i="6" s="1"/>
  <c r="Y42" i="14"/>
  <c r="AE91" i="6" s="1"/>
  <c r="Z26" i="14"/>
  <c r="AA9" i="14" s="1"/>
  <c r="Z22" i="14"/>
  <c r="AD106" i="5" l="1"/>
  <c r="AF93" i="6"/>
  <c r="AF122" i="5" s="1"/>
  <c r="AF133" i="5"/>
  <c r="Y61" i="14"/>
  <c r="Y66" i="14" s="1"/>
  <c r="Y64" i="14" s="1"/>
  <c r="Y47" i="14"/>
  <c r="Y72" i="14"/>
  <c r="Z41" i="14"/>
  <c r="Z24" i="14"/>
  <c r="Z27" i="14"/>
  <c r="Z28" i="14" s="1"/>
  <c r="AA10" i="14"/>
  <c r="Y65" i="14" l="1"/>
  <c r="Y56" i="14" s="1"/>
  <c r="Y55" i="14"/>
  <c r="AE109" i="5" s="1"/>
  <c r="AE110" i="5" s="1"/>
  <c r="AE116" i="5" s="1"/>
  <c r="Y73" i="14"/>
  <c r="Y53" i="14" s="1"/>
  <c r="Y54" i="14" s="1"/>
  <c r="Y52" i="14"/>
  <c r="AE83" i="5" s="1"/>
  <c r="Z25" i="14"/>
  <c r="Z51" i="14" s="1"/>
  <c r="AE87" i="5"/>
  <c r="AE88" i="5"/>
  <c r="Y48" i="14"/>
  <c r="Y49" i="14" s="1"/>
  <c r="AE93" i="5" s="1"/>
  <c r="AE96" i="6"/>
  <c r="X84" i="14"/>
  <c r="AD90" i="5" s="1"/>
  <c r="AB12" i="18"/>
  <c r="AA18" i="14"/>
  <c r="AA20" i="14" s="1"/>
  <c r="Z40" i="14"/>
  <c r="Z60" i="14" s="1"/>
  <c r="Z59" i="14" s="1"/>
  <c r="AE101" i="5" l="1"/>
  <c r="AE103" i="5" s="1"/>
  <c r="AE105" i="5" s="1"/>
  <c r="AE100" i="5"/>
  <c r="AE85" i="5"/>
  <c r="Y50" i="14"/>
  <c r="Z46" i="14"/>
  <c r="AA22" i="14"/>
  <c r="AA41" i="14" s="1"/>
  <c r="AG83" i="6"/>
  <c r="AE97" i="6"/>
  <c r="AE98" i="6" s="1"/>
  <c r="AE134" i="6" s="1"/>
  <c r="AA26" i="14"/>
  <c r="AB10" i="14" s="1"/>
  <c r="Z42" i="14"/>
  <c r="AF91" i="6" s="1"/>
  <c r="AE106" i="5" l="1"/>
  <c r="Z61" i="14"/>
  <c r="Z66" i="14" s="1"/>
  <c r="Z64" i="14" s="1"/>
  <c r="Z47" i="14"/>
  <c r="AA24" i="14"/>
  <c r="AG119" i="6"/>
  <c r="AG82" i="6"/>
  <c r="AG90" i="6"/>
  <c r="AA27" i="14"/>
  <c r="AA28" i="14" s="1"/>
  <c r="AB9" i="14"/>
  <c r="AB18" i="14" s="1"/>
  <c r="AB20" i="14" s="1"/>
  <c r="AH83" i="6" s="1"/>
  <c r="Z72" i="14"/>
  <c r="AG93" i="6" l="1"/>
  <c r="AG122" i="5" s="1"/>
  <c r="AG133" i="5"/>
  <c r="Z55" i="14"/>
  <c r="AF109" i="5" s="1"/>
  <c r="AF110" i="5" s="1"/>
  <c r="AF116" i="5" s="1"/>
  <c r="Z65" i="14"/>
  <c r="Z56" i="14" s="1"/>
  <c r="Z73" i="14"/>
  <c r="Z53" i="14" s="1"/>
  <c r="Z54" i="14" s="1"/>
  <c r="Z52" i="14"/>
  <c r="AF83" i="5" s="1"/>
  <c r="AF87" i="5"/>
  <c r="AF88" i="5"/>
  <c r="AA25" i="14"/>
  <c r="AA51" i="14" s="1"/>
  <c r="Z48" i="14"/>
  <c r="Z49" i="14" s="1"/>
  <c r="AF93" i="5" s="1"/>
  <c r="AA40" i="14"/>
  <c r="AH82" i="6"/>
  <c r="AH90" i="6"/>
  <c r="AH133" i="5" s="1"/>
  <c r="AH119" i="6"/>
  <c r="AF96" i="6"/>
  <c r="Y84" i="14"/>
  <c r="AE90" i="5" s="1"/>
  <c r="AC12" i="18"/>
  <c r="AB26" i="14"/>
  <c r="AC9" i="14" s="1"/>
  <c r="AB22" i="14"/>
  <c r="AA42" i="14"/>
  <c r="AG91" i="6" s="1"/>
  <c r="AF101" i="5" l="1"/>
  <c r="AF103" i="5" s="1"/>
  <c r="AF105" i="5" s="1"/>
  <c r="AF100" i="5"/>
  <c r="Z50" i="14"/>
  <c r="AA60" i="14"/>
  <c r="AA59" i="14" s="1"/>
  <c r="AH93" i="6"/>
  <c r="AH122" i="5" s="1"/>
  <c r="AF97" i="6"/>
  <c r="AF98" i="6" s="1"/>
  <c r="AF134" i="6" s="1"/>
  <c r="AA72" i="14"/>
  <c r="AB24" i="14"/>
  <c r="AB41" i="14"/>
  <c r="AB27" i="14"/>
  <c r="AB28" i="14" s="1"/>
  <c r="AC10" i="14"/>
  <c r="AF106" i="5" l="1"/>
  <c r="AA73" i="14"/>
  <c r="AA53" i="14" s="1"/>
  <c r="AA54" i="14" s="1"/>
  <c r="AA52" i="14"/>
  <c r="AG83" i="5" s="1"/>
  <c r="AB25" i="14"/>
  <c r="AF85" i="5"/>
  <c r="AA46" i="14"/>
  <c r="AG96" i="6"/>
  <c r="AB40" i="14"/>
  <c r="AB60" i="14" s="1"/>
  <c r="AB59" i="14" s="1"/>
  <c r="AC18" i="14"/>
  <c r="AC20" i="14" s="1"/>
  <c r="AA61" i="14" l="1"/>
  <c r="AA66" i="14" s="1"/>
  <c r="AA64" i="14" s="1"/>
  <c r="AB51" i="14"/>
  <c r="I30" i="14"/>
  <c r="AA47" i="14"/>
  <c r="AB46" i="14"/>
  <c r="Z84" i="14"/>
  <c r="AF90" i="5" s="1"/>
  <c r="AD12" i="18"/>
  <c r="AC26" i="14"/>
  <c r="AD9" i="14" s="1"/>
  <c r="AC22" i="14"/>
  <c r="AB42" i="14"/>
  <c r="AH91" i="6" s="1"/>
  <c r="AA65" i="14" l="1"/>
  <c r="AA56" i="14" s="1"/>
  <c r="AA55" i="14"/>
  <c r="AG109" i="5" s="1"/>
  <c r="AG110" i="5" s="1"/>
  <c r="AG116" i="5" s="1"/>
  <c r="AG88" i="5"/>
  <c r="AG87" i="5"/>
  <c r="AB61" i="14"/>
  <c r="AB66" i="14" s="1"/>
  <c r="AB64" i="14" s="1"/>
  <c r="AB47" i="14"/>
  <c r="AA48" i="14"/>
  <c r="AA49" i="14" s="1"/>
  <c r="AG93" i="5" s="1"/>
  <c r="AC27" i="14"/>
  <c r="AC28" i="14" s="1"/>
  <c r="AB72" i="14"/>
  <c r="AC24" i="14"/>
  <c r="AC25" i="14" s="1"/>
  <c r="AC51" i="14" s="1"/>
  <c r="AC41" i="14"/>
  <c r="AG101" i="5" l="1"/>
  <c r="AG103" i="5" s="1"/>
  <c r="AG105" i="5" s="1"/>
  <c r="AG100" i="5"/>
  <c r="AB65" i="14"/>
  <c r="AB56" i="14" s="1"/>
  <c r="AB55" i="14"/>
  <c r="AH109" i="5" s="1"/>
  <c r="AH110" i="5" s="1"/>
  <c r="AH116" i="5" s="1"/>
  <c r="AB73" i="14"/>
  <c r="AB53" i="14" s="1"/>
  <c r="AB54" i="14" s="1"/>
  <c r="AB52" i="14"/>
  <c r="AH85" i="5"/>
  <c r="AH87" i="5"/>
  <c r="AH88" i="5"/>
  <c r="AB48" i="14"/>
  <c r="AB49" i="14" s="1"/>
  <c r="AH93" i="5" s="1"/>
  <c r="AA50" i="14"/>
  <c r="AG97" i="6"/>
  <c r="AG98" i="6" s="1"/>
  <c r="AG134" i="6" s="1"/>
  <c r="AA84" i="14"/>
  <c r="AG90" i="5" s="1"/>
  <c r="AE12" i="18"/>
  <c r="AH96" i="6"/>
  <c r="AD18" i="14"/>
  <c r="AD20" i="14" s="1"/>
  <c r="AJ83" i="6" s="1"/>
  <c r="AC40" i="14"/>
  <c r="AC60" i="14" s="1"/>
  <c r="AC59" i="14" s="1"/>
  <c r="AH83" i="5"/>
  <c r="AJ82" i="6" l="1"/>
  <c r="AJ119" i="6"/>
  <c r="AJ90" i="6"/>
  <c r="AG106" i="5"/>
  <c r="AH101" i="5"/>
  <c r="AH103" i="5" s="1"/>
  <c r="AH105" i="5" s="1"/>
  <c r="AH100" i="5"/>
  <c r="AG85" i="5"/>
  <c r="AB50" i="14"/>
  <c r="AC46" i="14"/>
  <c r="AH97" i="6"/>
  <c r="AH98" i="6" s="1"/>
  <c r="AH134" i="6" s="1"/>
  <c r="AD26" i="14"/>
  <c r="AE9" i="14" s="1"/>
  <c r="AD22" i="14"/>
  <c r="AC42" i="14"/>
  <c r="AJ93" i="6" l="1"/>
  <c r="AJ122" i="5" s="1"/>
  <c r="AJ133" i="5"/>
  <c r="AH106" i="5"/>
  <c r="AC61" i="14"/>
  <c r="AC47" i="14"/>
  <c r="AD24" i="14"/>
  <c r="AD41" i="14"/>
  <c r="AD27" i="14"/>
  <c r="AD28" i="14" s="1"/>
  <c r="AC72" i="14"/>
  <c r="AC66" i="14" l="1"/>
  <c r="AC64" i="14" s="1"/>
  <c r="AI88" i="5"/>
  <c r="AI87" i="5"/>
  <c r="AC65" i="14"/>
  <c r="AC56" i="14" s="1"/>
  <c r="AC55" i="14"/>
  <c r="AI109" i="5" s="1"/>
  <c r="AI110" i="5" s="1"/>
  <c r="AI116" i="5" s="1"/>
  <c r="AC73" i="14"/>
  <c r="AC53" i="14" s="1"/>
  <c r="AC54" i="14" s="1"/>
  <c r="AC52" i="14"/>
  <c r="AC48" i="14"/>
  <c r="AC49" i="14" s="1"/>
  <c r="O3" i="21"/>
  <c r="O21" i="21"/>
  <c r="O5" i="21"/>
  <c r="O12" i="21"/>
  <c r="O19" i="21"/>
  <c r="O17" i="21"/>
  <c r="O10" i="21"/>
  <c r="O8" i="21"/>
  <c r="O18" i="21"/>
  <c r="O20" i="21"/>
  <c r="O15" i="21"/>
  <c r="O6" i="21"/>
  <c r="O16" i="21"/>
  <c r="O11" i="21"/>
  <c r="O13" i="21"/>
  <c r="O4" i="21"/>
  <c r="O7" i="21"/>
  <c r="O9" i="21"/>
  <c r="O14" i="21"/>
  <c r="AB84" i="14"/>
  <c r="AH90" i="5" s="1"/>
  <c r="AF12" i="18"/>
  <c r="AD25" i="14"/>
  <c r="AD51" i="14" s="1"/>
  <c r="AD40" i="14"/>
  <c r="AD60" i="14" s="1"/>
  <c r="AD59" i="14" s="1"/>
  <c r="AE18" i="14"/>
  <c r="AE20" i="14" s="1"/>
  <c r="AE22" i="14" l="1"/>
  <c r="AK83" i="6"/>
  <c r="AI101" i="5"/>
  <c r="AI103" i="5" s="1"/>
  <c r="AI105" i="5" s="1"/>
  <c r="AI100" i="5"/>
  <c r="AC50" i="14"/>
  <c r="AD46" i="14"/>
  <c r="AE24" i="14"/>
  <c r="AE41" i="14"/>
  <c r="AD42" i="14"/>
  <c r="AJ91" i="6" s="1"/>
  <c r="AE26" i="14"/>
  <c r="AF9" i="14" s="1"/>
  <c r="AJ96" i="6" l="1"/>
  <c r="AK119" i="6"/>
  <c r="AK82" i="6"/>
  <c r="AK90" i="6"/>
  <c r="AI106" i="5"/>
  <c r="AD61" i="14"/>
  <c r="AD66" i="14" s="1"/>
  <c r="AD64" i="14" s="1"/>
  <c r="AD47" i="14"/>
  <c r="AC84" i="14"/>
  <c r="AI90" i="5" s="1"/>
  <c r="AD72" i="14"/>
  <c r="AE25" i="14"/>
  <c r="AE51" i="14" s="1"/>
  <c r="AE40" i="14"/>
  <c r="AE60" i="14" s="1"/>
  <c r="AE59" i="14" s="1"/>
  <c r="AF18" i="14"/>
  <c r="AF20" i="14" s="1"/>
  <c r="AL83" i="6" s="1"/>
  <c r="AE27" i="14"/>
  <c r="AE28" i="14" s="1"/>
  <c r="AD65" i="14" l="1"/>
  <c r="AK93" i="6"/>
  <c r="AK122" i="5" s="1"/>
  <c r="AK133" i="5"/>
  <c r="AL119" i="6"/>
  <c r="AL82" i="6"/>
  <c r="AL90" i="6"/>
  <c r="AD73" i="14"/>
  <c r="AD53" i="14" s="1"/>
  <c r="AD54" i="14" s="1"/>
  <c r="AD52" i="14"/>
  <c r="AD55" i="14"/>
  <c r="AJ109" i="5" s="1"/>
  <c r="AJ110" i="5" s="1"/>
  <c r="AJ116" i="5" s="1"/>
  <c r="AD56" i="14"/>
  <c r="AD48" i="14"/>
  <c r="AJ97" i="6" s="1"/>
  <c r="AJ98" i="6" s="1"/>
  <c r="AJ134" i="6" s="1"/>
  <c r="AE46" i="14"/>
  <c r="AE42" i="14"/>
  <c r="AK91" i="6" s="1"/>
  <c r="AF22" i="14"/>
  <c r="AF26" i="14"/>
  <c r="AG9" i="14" s="1"/>
  <c r="AJ101" i="5" l="1"/>
  <c r="AJ103" i="5" s="1"/>
  <c r="AJ105" i="5" s="1"/>
  <c r="AJ100" i="5"/>
  <c r="AK96" i="6"/>
  <c r="AK98" i="6" s="1"/>
  <c r="AK134" i="6" s="1"/>
  <c r="AL93" i="6"/>
  <c r="AL122" i="5" s="1"/>
  <c r="AL133" i="5"/>
  <c r="AE61" i="14"/>
  <c r="AE66" i="14" s="1"/>
  <c r="AE64" i="14" s="1"/>
  <c r="AD50" i="14"/>
  <c r="AD49" i="14"/>
  <c r="AJ131" i="5" s="1"/>
  <c r="AE47" i="14"/>
  <c r="AE48" i="14" s="1"/>
  <c r="AK97" i="6" s="1"/>
  <c r="AE72" i="14"/>
  <c r="AF24" i="14"/>
  <c r="AF41" i="14"/>
  <c r="AF27" i="14"/>
  <c r="AF28" i="14" s="1"/>
  <c r="AE65" i="14" l="1"/>
  <c r="AJ106" i="5"/>
  <c r="AE73" i="14"/>
  <c r="AE53" i="14" s="1"/>
  <c r="AE54" i="14" s="1"/>
  <c r="AE52" i="14"/>
  <c r="AE56" i="14"/>
  <c r="AE55" i="14"/>
  <c r="AK109" i="5" s="1"/>
  <c r="AK110" i="5" s="1"/>
  <c r="AK116" i="5" s="1"/>
  <c r="AE49" i="14"/>
  <c r="AK131" i="5" s="1"/>
  <c r="AE50" i="14"/>
  <c r="AD84" i="14"/>
  <c r="AF25" i="14"/>
  <c r="AF51" i="14" s="1"/>
  <c r="AF40" i="14"/>
  <c r="AF60" i="14" s="1"/>
  <c r="AF59" i="14" s="1"/>
  <c r="AG18" i="14"/>
  <c r="AG20" i="14" s="1"/>
  <c r="AM83" i="6" s="1"/>
  <c r="B11" i="1"/>
  <c r="B13" i="1" s="1"/>
  <c r="B15" i="1" s="1"/>
  <c r="B17" i="1" s="1"/>
  <c r="B18" i="1" s="1"/>
  <c r="B19" i="1" s="1"/>
  <c r="B20" i="1" s="1"/>
  <c r="B22" i="1" s="1"/>
  <c r="B23" i="1" s="1"/>
  <c r="AA37" i="1"/>
  <c r="O4" i="1"/>
  <c r="M4" i="18" s="1"/>
  <c r="AK101" i="5" l="1"/>
  <c r="AK103" i="5" s="1"/>
  <c r="AK105" i="5" s="1"/>
  <c r="AK100" i="5"/>
  <c r="AM82" i="6"/>
  <c r="AM119" i="6"/>
  <c r="AM90" i="6"/>
  <c r="AF46" i="14"/>
  <c r="B25" i="1"/>
  <c r="B27" i="1" s="1"/>
  <c r="B33" i="1" s="1"/>
  <c r="AB37" i="1"/>
  <c r="AB40" i="5" s="1"/>
  <c r="AB108" i="5" s="1"/>
  <c r="AB112" i="5" s="1"/>
  <c r="AB121" i="5" s="1"/>
  <c r="AB124" i="5" s="1"/>
  <c r="Y19" i="18"/>
  <c r="Y14" i="18"/>
  <c r="I3" i="14"/>
  <c r="I3" i="16"/>
  <c r="AF42" i="14"/>
  <c r="AL91" i="6" s="1"/>
  <c r="AG26" i="14"/>
  <c r="AH9" i="14" s="1"/>
  <c r="AG22" i="14"/>
  <c r="D4" i="5"/>
  <c r="D4" i="6" s="1"/>
  <c r="D4" i="8" s="1"/>
  <c r="D3" i="19" s="1"/>
  <c r="D3" i="11" s="1"/>
  <c r="D3" i="5"/>
  <c r="D3" i="6" s="1"/>
  <c r="D3" i="8" s="1"/>
  <c r="D2" i="19" s="1"/>
  <c r="D2" i="11" s="1"/>
  <c r="E84" i="11"/>
  <c r="F84" i="11" s="1"/>
  <c r="G84" i="11" s="1"/>
  <c r="H84" i="11" s="1"/>
  <c r="AL96" i="6" l="1"/>
  <c r="AM93" i="6"/>
  <c r="AM122" i="5" s="1"/>
  <c r="AM133" i="5"/>
  <c r="AK106" i="5"/>
  <c r="AF61" i="14"/>
  <c r="AF66" i="14" s="1"/>
  <c r="AF64" i="14" s="1"/>
  <c r="AF47" i="14"/>
  <c r="AC37" i="1"/>
  <c r="AC40" i="5" s="1"/>
  <c r="AC108" i="5" s="1"/>
  <c r="AC112" i="5" s="1"/>
  <c r="AC121" i="5" s="1"/>
  <c r="AC124" i="5" s="1"/>
  <c r="Z19" i="18"/>
  <c r="Z14" i="18"/>
  <c r="AE84" i="14"/>
  <c r="AG24" i="14"/>
  <c r="AG41" i="14"/>
  <c r="AF72" i="14"/>
  <c r="AG27" i="14"/>
  <c r="AG28" i="14" s="1"/>
  <c r="C71" i="11"/>
  <c r="C72" i="11" s="1"/>
  <c r="C73" i="11" s="1"/>
  <c r="C74" i="11" s="1"/>
  <c r="C56" i="11"/>
  <c r="C57" i="11" s="1"/>
  <c r="C58" i="11" s="1"/>
  <c r="C59" i="11" s="1"/>
  <c r="C60" i="11" s="1"/>
  <c r="C61" i="11" s="1"/>
  <c r="C62" i="11" s="1"/>
  <c r="C63" i="11" s="1"/>
  <c r="C64" i="11" s="1"/>
  <c r="C65" i="11" s="1"/>
  <c r="F11" i="9"/>
  <c r="U35" i="8"/>
  <c r="V35" i="8"/>
  <c r="W35" i="8"/>
  <c r="X35" i="8"/>
  <c r="Y35" i="8"/>
  <c r="Z35" i="8"/>
  <c r="AA35" i="8"/>
  <c r="AA31" i="8"/>
  <c r="Q31" i="8"/>
  <c r="R31" i="8"/>
  <c r="S31" i="8"/>
  <c r="T31" i="8"/>
  <c r="U31" i="8"/>
  <c r="V31" i="8"/>
  <c r="W31" i="8"/>
  <c r="X31" i="8"/>
  <c r="Y31" i="8"/>
  <c r="Z31" i="8"/>
  <c r="P31" i="8"/>
  <c r="C30" i="8"/>
  <c r="C31" i="8"/>
  <c r="C29" i="8"/>
  <c r="B11" i="8"/>
  <c r="B12" i="8" s="1"/>
  <c r="B13" i="8" s="1"/>
  <c r="B15" i="8" s="1"/>
  <c r="AF65" i="14" l="1"/>
  <c r="AF56" i="14" s="1"/>
  <c r="AL100" i="5"/>
  <c r="AL101" i="5"/>
  <c r="AL103" i="5" s="1"/>
  <c r="AL105" i="5" s="1"/>
  <c r="AF73" i="14"/>
  <c r="AF53" i="14" s="1"/>
  <c r="AF54" i="14" s="1"/>
  <c r="AF52" i="14"/>
  <c r="AF48" i="14"/>
  <c r="AF55" i="14"/>
  <c r="AL109" i="5" s="1"/>
  <c r="AL110" i="5" s="1"/>
  <c r="AL116" i="5" s="1"/>
  <c r="AD37" i="1"/>
  <c r="AD40" i="5" s="1"/>
  <c r="AD108" i="5" s="1"/>
  <c r="AD112" i="5" s="1"/>
  <c r="AD121" i="5" s="1"/>
  <c r="AD124" i="5" s="1"/>
  <c r="AA19" i="18"/>
  <c r="AA14" i="18"/>
  <c r="AG25" i="14"/>
  <c r="AG51" i="14" s="1"/>
  <c r="AG40" i="14"/>
  <c r="AG60" i="14" s="1"/>
  <c r="AG59" i="14" s="1"/>
  <c r="AH18" i="14"/>
  <c r="AH20" i="14" s="1"/>
  <c r="AN83" i="6" s="1"/>
  <c r="B17" i="8"/>
  <c r="B18" i="8" s="1"/>
  <c r="B19" i="8" s="1"/>
  <c r="B20" i="8" s="1"/>
  <c r="B21" i="8" s="1"/>
  <c r="B22" i="8" s="1"/>
  <c r="B24" i="8" s="1"/>
  <c r="AL106" i="5" l="1"/>
  <c r="AF49" i="14"/>
  <c r="AL131" i="5" s="1"/>
  <c r="AL97" i="6"/>
  <c r="AL98" i="6" s="1"/>
  <c r="AL134" i="6" s="1"/>
  <c r="AN82" i="6"/>
  <c r="AN119" i="6"/>
  <c r="AN90" i="6"/>
  <c r="AF50" i="14"/>
  <c r="AG46" i="14"/>
  <c r="AE37" i="1"/>
  <c r="AE40" i="5" s="1"/>
  <c r="AE108" i="5" s="1"/>
  <c r="AE112" i="5" s="1"/>
  <c r="AE121" i="5" s="1"/>
  <c r="AE124" i="5" s="1"/>
  <c r="AB19" i="18"/>
  <c r="AB14" i="18"/>
  <c r="AG42" i="14"/>
  <c r="AM91" i="6" s="1"/>
  <c r="AH26" i="14"/>
  <c r="AI9" i="14" s="1"/>
  <c r="AH22" i="14"/>
  <c r="B29" i="8"/>
  <c r="B30" i="8" s="1"/>
  <c r="B31" i="8" s="1"/>
  <c r="B15" i="6"/>
  <c r="B16" i="6" s="1"/>
  <c r="AM96" i="6" l="1"/>
  <c r="AN93" i="6"/>
  <c r="AN122" i="5" s="1"/>
  <c r="AN133" i="5"/>
  <c r="AG61" i="14"/>
  <c r="AG66" i="14" s="1"/>
  <c r="AG64" i="14" s="1"/>
  <c r="AG47" i="14"/>
  <c r="AF37" i="1"/>
  <c r="AF40" i="5" s="1"/>
  <c r="AF108" i="5" s="1"/>
  <c r="AF112" i="5" s="1"/>
  <c r="AF121" i="5" s="1"/>
  <c r="AF124" i="5" s="1"/>
  <c r="AC19" i="18"/>
  <c r="AC14" i="18"/>
  <c r="B33" i="8"/>
  <c r="B35" i="8" s="1"/>
  <c r="B37" i="8" s="1"/>
  <c r="B39" i="8" s="1"/>
  <c r="B40" i="8" s="1"/>
  <c r="B45" i="8" s="1"/>
  <c r="B32" i="8"/>
  <c r="AH24" i="14"/>
  <c r="AH41" i="14"/>
  <c r="AG72" i="14"/>
  <c r="AH27" i="14"/>
  <c r="AH28" i="14" s="1"/>
  <c r="B19" i="6"/>
  <c r="B20" i="6" s="1"/>
  <c r="AG65" i="14" l="1"/>
  <c r="AG73" i="14"/>
  <c r="AG53" i="14" s="1"/>
  <c r="AG54" i="14" s="1"/>
  <c r="AG52" i="14"/>
  <c r="AG55" i="14"/>
  <c r="AM109" i="5" s="1"/>
  <c r="AM110" i="5" s="1"/>
  <c r="AM116" i="5" s="1"/>
  <c r="AG56" i="14"/>
  <c r="AG48" i="14"/>
  <c r="AG37" i="1"/>
  <c r="AG40" i="5" s="1"/>
  <c r="AG108" i="5" s="1"/>
  <c r="AG112" i="5" s="1"/>
  <c r="AG121" i="5" s="1"/>
  <c r="AG124" i="5" s="1"/>
  <c r="AD19" i="18"/>
  <c r="AD14" i="18"/>
  <c r="AF84" i="14"/>
  <c r="AH25" i="14"/>
  <c r="AH51" i="14" s="1"/>
  <c r="AH40" i="14"/>
  <c r="AH60" i="14" s="1"/>
  <c r="AH59" i="14" s="1"/>
  <c r="AI18" i="14"/>
  <c r="AI20" i="14" s="1"/>
  <c r="AO83" i="6" s="1"/>
  <c r="B46" i="8"/>
  <c r="B47" i="8" s="1"/>
  <c r="B23" i="6"/>
  <c r="B24" i="6" s="1"/>
  <c r="AG49" i="14" l="1"/>
  <c r="AM131" i="5" s="1"/>
  <c r="AM97" i="6"/>
  <c r="AM98" i="6" s="1"/>
  <c r="AM134" i="6" s="1"/>
  <c r="AO119" i="6"/>
  <c r="AO82" i="6"/>
  <c r="AO90" i="6"/>
  <c r="AM100" i="5"/>
  <c r="AM101" i="5"/>
  <c r="AM103" i="5" s="1"/>
  <c r="AM105" i="5" s="1"/>
  <c r="AM106" i="5" s="1"/>
  <c r="AG50" i="14"/>
  <c r="AH46" i="14"/>
  <c r="AH61" i="14"/>
  <c r="AH66" i="14" s="1"/>
  <c r="AH64" i="14" s="1"/>
  <c r="AH37" i="1"/>
  <c r="AH40" i="5" s="1"/>
  <c r="AH108" i="5" s="1"/>
  <c r="AH112" i="5" s="1"/>
  <c r="AH121" i="5" s="1"/>
  <c r="AH124" i="5" s="1"/>
  <c r="AE19" i="18"/>
  <c r="AE14" i="18"/>
  <c r="B48" i="8"/>
  <c r="B50" i="8" s="1"/>
  <c r="B51" i="8" s="1"/>
  <c r="B26" i="6"/>
  <c r="AH42" i="14"/>
  <c r="AN91" i="6" s="1"/>
  <c r="AI26" i="14"/>
  <c r="AJ9" i="14" s="1"/>
  <c r="AI22" i="14"/>
  <c r="AH65" i="14" l="1"/>
  <c r="AH56" i="14" s="1"/>
  <c r="AN96" i="6"/>
  <c r="AO93" i="6"/>
  <c r="AO122" i="5" s="1"/>
  <c r="AO133" i="5"/>
  <c r="AH47" i="14"/>
  <c r="AI37" i="1"/>
  <c r="AF19" i="18"/>
  <c r="AF14" i="18"/>
  <c r="B54" i="8"/>
  <c r="B55" i="8" s="1"/>
  <c r="B29" i="6"/>
  <c r="B30" i="6" s="1"/>
  <c r="B31" i="6" s="1"/>
  <c r="B37" i="6" s="1"/>
  <c r="B38" i="6" s="1"/>
  <c r="B39" i="6" s="1"/>
  <c r="B40" i="6" s="1"/>
  <c r="B41" i="6" s="1"/>
  <c r="AG84" i="14"/>
  <c r="AH72" i="14"/>
  <c r="AI24" i="14"/>
  <c r="AI41" i="14"/>
  <c r="AI27" i="14"/>
  <c r="AI28" i="14" s="1"/>
  <c r="AN101" i="5" l="1"/>
  <c r="AN103" i="5" s="1"/>
  <c r="AN105" i="5" s="1"/>
  <c r="AN100" i="5"/>
  <c r="AJ37" i="1"/>
  <c r="AG19" i="18"/>
  <c r="AG14" i="18"/>
  <c r="AI40" i="5"/>
  <c r="AI108" i="5" s="1"/>
  <c r="AI112" i="5" s="1"/>
  <c r="AI121" i="5" s="1"/>
  <c r="AI124" i="5" s="1"/>
  <c r="AH73" i="14"/>
  <c r="AH53" i="14" s="1"/>
  <c r="AH54" i="14" s="1"/>
  <c r="AH52" i="14"/>
  <c r="AH48" i="14"/>
  <c r="AH55" i="14"/>
  <c r="AN109" i="5" s="1"/>
  <c r="AN110" i="5" s="1"/>
  <c r="AN116" i="5" s="1"/>
  <c r="B56" i="8"/>
  <c r="B58" i="8" s="1"/>
  <c r="B59" i="8" s="1"/>
  <c r="B60" i="8" s="1"/>
  <c r="B61" i="8" s="1"/>
  <c r="B63" i="8" s="1"/>
  <c r="B64" i="8" s="1"/>
  <c r="B65" i="8" s="1"/>
  <c r="B67" i="8" s="1"/>
  <c r="B68" i="8" s="1"/>
  <c r="B74" i="8" s="1"/>
  <c r="B75" i="8" s="1"/>
  <c r="B48" i="6"/>
  <c r="B49" i="6" s="1"/>
  <c r="B50" i="6" s="1"/>
  <c r="B51" i="6" s="1"/>
  <c r="B52" i="6" s="1"/>
  <c r="AI25" i="14"/>
  <c r="AI51" i="14" s="1"/>
  <c r="AI40" i="14"/>
  <c r="AI60" i="14" s="1"/>
  <c r="AI59" i="14" s="1"/>
  <c r="AJ18" i="14"/>
  <c r="AJ20" i="14" s="1"/>
  <c r="AP83" i="6" s="1"/>
  <c r="AK37" i="1" l="1"/>
  <c r="AH19" i="18"/>
  <c r="AJ46" i="5"/>
  <c r="AJ114" i="5" s="1"/>
  <c r="AJ71" i="6"/>
  <c r="AJ138" i="6" s="1"/>
  <c r="AH14" i="18"/>
  <c r="AJ40" i="5"/>
  <c r="AJ108" i="5" s="1"/>
  <c r="AJ112" i="5" s="1"/>
  <c r="AJ121" i="5" s="1"/>
  <c r="AJ124" i="5" s="1"/>
  <c r="AN106" i="5"/>
  <c r="AH49" i="14"/>
  <c r="AN131" i="5" s="1"/>
  <c r="AN97" i="6"/>
  <c r="AN98" i="6" s="1"/>
  <c r="AN134" i="6" s="1"/>
  <c r="AP82" i="6"/>
  <c r="AP119" i="6"/>
  <c r="AP90" i="6"/>
  <c r="B76" i="8"/>
  <c r="B77" i="8" s="1"/>
  <c r="B80" i="8" s="1"/>
  <c r="B81" i="8" s="1"/>
  <c r="B82" i="8" s="1"/>
  <c r="B83" i="8" s="1"/>
  <c r="B84" i="8" s="1"/>
  <c r="B87" i="8" s="1"/>
  <c r="B88" i="8" s="1"/>
  <c r="B89" i="8" s="1"/>
  <c r="B90" i="8" s="1"/>
  <c r="B91" i="8" s="1"/>
  <c r="B93" i="8" s="1"/>
  <c r="B95" i="8" s="1"/>
  <c r="B96" i="8" s="1"/>
  <c r="B97" i="8" s="1"/>
  <c r="AH50" i="14"/>
  <c r="AI46" i="14"/>
  <c r="B53" i="6"/>
  <c r="B54" i="6" s="1"/>
  <c r="B57" i="6" s="1"/>
  <c r="B58" i="6" s="1"/>
  <c r="B59" i="6" s="1"/>
  <c r="AI42" i="14"/>
  <c r="AO91" i="6" s="1"/>
  <c r="AJ22" i="14"/>
  <c r="AJ26" i="14"/>
  <c r="AK9" i="14" s="1"/>
  <c r="AL37" i="1" l="1"/>
  <c r="AK46" i="5"/>
  <c r="AK114" i="5" s="1"/>
  <c r="AI19" i="18"/>
  <c r="AK71" i="6"/>
  <c r="AK138" i="6" s="1"/>
  <c r="AI14" i="18"/>
  <c r="AK40" i="5"/>
  <c r="AK108" i="5" s="1"/>
  <c r="AK112" i="5" s="1"/>
  <c r="AK121" i="5" s="1"/>
  <c r="AK124" i="5" s="1"/>
  <c r="AO96" i="6"/>
  <c r="AP93" i="6"/>
  <c r="AP122" i="5" s="1"/>
  <c r="AP133" i="5"/>
  <c r="AI61" i="14"/>
  <c r="AI66" i="14" s="1"/>
  <c r="AI64" i="14" s="1"/>
  <c r="AI47" i="14"/>
  <c r="B61" i="6"/>
  <c r="B67" i="6" s="1"/>
  <c r="AH84" i="14"/>
  <c r="AI72" i="14"/>
  <c r="AJ24" i="14"/>
  <c r="AJ41" i="14"/>
  <c r="AJ27" i="14"/>
  <c r="AJ28" i="14" s="1"/>
  <c r="AM37" i="1" l="1"/>
  <c r="AL46" i="5"/>
  <c r="AL114" i="5" s="1"/>
  <c r="AJ19" i="18"/>
  <c r="AL71" i="6"/>
  <c r="AL138" i="6" s="1"/>
  <c r="AJ14" i="18"/>
  <c r="AL40" i="5"/>
  <c r="AL108" i="5" s="1"/>
  <c r="AL112" i="5" s="1"/>
  <c r="AL121" i="5" s="1"/>
  <c r="AL124" i="5" s="1"/>
  <c r="AI65" i="14"/>
  <c r="AI56" i="14" s="1"/>
  <c r="AI73" i="14"/>
  <c r="AI53" i="14" s="1"/>
  <c r="AI54" i="14" s="1"/>
  <c r="AI52" i="14"/>
  <c r="AI55" i="14"/>
  <c r="AO109" i="5" s="1"/>
  <c r="AO110" i="5" s="1"/>
  <c r="AO116" i="5" s="1"/>
  <c r="AI48" i="14"/>
  <c r="B68" i="6"/>
  <c r="B69" i="6" s="1"/>
  <c r="AJ25" i="14"/>
  <c r="AJ51" i="14" s="1"/>
  <c r="AJ40" i="14"/>
  <c r="AJ60" i="14" s="1"/>
  <c r="AJ59" i="14" s="1"/>
  <c r="AK18" i="14"/>
  <c r="AK20" i="14" s="1"/>
  <c r="AQ83" i="6" s="1"/>
  <c r="AN37" i="1" l="1"/>
  <c r="AM71" i="6"/>
  <c r="AM138" i="6" s="1"/>
  <c r="AK19" i="18"/>
  <c r="AM46" i="5"/>
  <c r="AM114" i="5" s="1"/>
  <c r="AK14" i="18"/>
  <c r="AM40" i="5"/>
  <c r="AM108" i="5" s="1"/>
  <c r="AM112" i="5" s="1"/>
  <c r="AM121" i="5" s="1"/>
  <c r="AM124" i="5" s="1"/>
  <c r="AO101" i="5"/>
  <c r="AO103" i="5" s="1"/>
  <c r="AO105" i="5" s="1"/>
  <c r="AO100" i="5"/>
  <c r="AQ82" i="6"/>
  <c r="AQ119" i="6"/>
  <c r="AQ90" i="6"/>
  <c r="AI49" i="14"/>
  <c r="AO131" i="5" s="1"/>
  <c r="AO97" i="6"/>
  <c r="AO98" i="6" s="1"/>
  <c r="AO134" i="6" s="1"/>
  <c r="B70" i="6"/>
  <c r="B71" i="6" s="1"/>
  <c r="B72" i="6" s="1"/>
  <c r="B81" i="6" s="1"/>
  <c r="B82" i="6" s="1"/>
  <c r="B83" i="6" s="1"/>
  <c r="B86" i="6" s="1"/>
  <c r="B87" i="6" s="1"/>
  <c r="B90" i="6" s="1"/>
  <c r="B91" i="6" s="1"/>
  <c r="B93" i="6" s="1"/>
  <c r="B96" i="6" s="1"/>
  <c r="B97" i="6" s="1"/>
  <c r="B98" i="6" s="1"/>
  <c r="B104" i="6" s="1"/>
  <c r="B105" i="6" s="1"/>
  <c r="B106" i="6" s="1"/>
  <c r="B107" i="6" s="1"/>
  <c r="B108" i="6" s="1"/>
  <c r="B115" i="6" s="1"/>
  <c r="B116" i="6" s="1"/>
  <c r="B117" i="6" s="1"/>
  <c r="B118" i="6" s="1"/>
  <c r="B119" i="6" s="1"/>
  <c r="B120" i="6" s="1"/>
  <c r="B121" i="6" s="1"/>
  <c r="B124" i="6" s="1"/>
  <c r="B125" i="6" s="1"/>
  <c r="B126" i="6" s="1"/>
  <c r="B128" i="6" s="1"/>
  <c r="B134" i="6" s="1"/>
  <c r="B135" i="6" s="1"/>
  <c r="B136" i="6" s="1"/>
  <c r="B137" i="6" s="1"/>
  <c r="B138" i="6" s="1"/>
  <c r="B139" i="6" s="1"/>
  <c r="AI50" i="14"/>
  <c r="AJ46" i="14"/>
  <c r="AJ42" i="14"/>
  <c r="AP91" i="6" s="1"/>
  <c r="AK26" i="14"/>
  <c r="AL9" i="14" s="1"/>
  <c r="AK22" i="14"/>
  <c r="AO37" i="1" l="1"/>
  <c r="AL19" i="18"/>
  <c r="AN71" i="6"/>
  <c r="AN138" i="6" s="1"/>
  <c r="AN46" i="5"/>
  <c r="AN114" i="5" s="1"/>
  <c r="AL14" i="18"/>
  <c r="AN40" i="5"/>
  <c r="AN108" i="5" s="1"/>
  <c r="AN112" i="5" s="1"/>
  <c r="AN121" i="5" s="1"/>
  <c r="AN124" i="5" s="1"/>
  <c r="AP96" i="6"/>
  <c r="AQ93" i="6"/>
  <c r="AQ122" i="5" s="1"/>
  <c r="AQ133" i="5"/>
  <c r="AO106" i="5"/>
  <c r="AJ61" i="14"/>
  <c r="AJ66" i="14" s="1"/>
  <c r="AJ64" i="14" s="1"/>
  <c r="AJ47" i="14"/>
  <c r="AJ72" i="14"/>
  <c r="AI84" i="14"/>
  <c r="AK24" i="14"/>
  <c r="AK41" i="14"/>
  <c r="AK27" i="14"/>
  <c r="AK28" i="14" s="1"/>
  <c r="AP37" i="1" l="1"/>
  <c r="AO46" i="5"/>
  <c r="AO114" i="5" s="1"/>
  <c r="AM19" i="18"/>
  <c r="AO71" i="6"/>
  <c r="AO138" i="6" s="1"/>
  <c r="AM14" i="18"/>
  <c r="AO40" i="5"/>
  <c r="AO108" i="5" s="1"/>
  <c r="AO112" i="5"/>
  <c r="AO121" i="5" s="1"/>
  <c r="AO124" i="5" s="1"/>
  <c r="AJ65" i="14"/>
  <c r="AJ56" i="14" s="1"/>
  <c r="AJ73" i="14"/>
  <c r="AJ53" i="14" s="1"/>
  <c r="AJ54" i="14" s="1"/>
  <c r="AJ52" i="14"/>
  <c r="AJ55" i="14"/>
  <c r="AP109" i="5" s="1"/>
  <c r="AP110" i="5" s="1"/>
  <c r="AP116" i="5" s="1"/>
  <c r="AJ48" i="14"/>
  <c r="B31" i="5"/>
  <c r="B59" i="5" s="1"/>
  <c r="B62" i="5" s="1"/>
  <c r="B63" i="5" s="1"/>
  <c r="B64" i="5" s="1"/>
  <c r="AK25" i="14"/>
  <c r="AK51" i="14" s="1"/>
  <c r="AK40" i="14"/>
  <c r="AK60" i="14" s="1"/>
  <c r="AK59" i="14" s="1"/>
  <c r="AL18" i="14"/>
  <c r="AL20" i="14" s="1"/>
  <c r="AR83" i="6" s="1"/>
  <c r="AQ37" i="1" l="1"/>
  <c r="AP71" i="6"/>
  <c r="AP138" i="6" s="1"/>
  <c r="AP46" i="5"/>
  <c r="AP114" i="5" s="1"/>
  <c r="AN19" i="18"/>
  <c r="AN14" i="18"/>
  <c r="AP40" i="5"/>
  <c r="AP108" i="5" s="1"/>
  <c r="AP100" i="5"/>
  <c r="AP101" i="5"/>
  <c r="AP103" i="5" s="1"/>
  <c r="AP105" i="5" s="1"/>
  <c r="AP106" i="5" s="1"/>
  <c r="AP112" i="5" s="1"/>
  <c r="AP121" i="5" s="1"/>
  <c r="AP124" i="5" s="1"/>
  <c r="AR82" i="6"/>
  <c r="AR119" i="6"/>
  <c r="AR90" i="6"/>
  <c r="AJ49" i="14"/>
  <c r="AP131" i="5" s="1"/>
  <c r="AP97" i="6"/>
  <c r="AP98" i="6" s="1"/>
  <c r="AP134" i="6" s="1"/>
  <c r="AJ50" i="14"/>
  <c r="AK46" i="14"/>
  <c r="B65" i="5"/>
  <c r="B66" i="5" s="1"/>
  <c r="B67" i="5" s="1"/>
  <c r="B68" i="5" s="1"/>
  <c r="B69" i="5" s="1"/>
  <c r="B70" i="5" s="1"/>
  <c r="B71" i="5" s="1"/>
  <c r="AK42" i="14"/>
  <c r="AQ91" i="6" s="1"/>
  <c r="AL22" i="14"/>
  <c r="AL26" i="14"/>
  <c r="AM9" i="14" s="1"/>
  <c r="AR37" i="1" l="1"/>
  <c r="AQ71" i="6"/>
  <c r="AQ138" i="6" s="1"/>
  <c r="AO19" i="18"/>
  <c r="AQ46" i="5"/>
  <c r="AQ114" i="5" s="1"/>
  <c r="AO14" i="18"/>
  <c r="AQ40" i="5"/>
  <c r="AQ108" i="5" s="1"/>
  <c r="AQ96" i="6"/>
  <c r="AR93" i="6"/>
  <c r="AR122" i="5" s="1"/>
  <c r="AR133" i="5"/>
  <c r="B73" i="5"/>
  <c r="B100" i="5" s="1"/>
  <c r="B101" i="5" s="1"/>
  <c r="B102" i="5" s="1"/>
  <c r="B103" i="5" s="1"/>
  <c r="B104" i="5" s="1"/>
  <c r="B105" i="5" s="1"/>
  <c r="B106" i="5" s="1"/>
  <c r="B108" i="5" s="1"/>
  <c r="B109" i="5" s="1"/>
  <c r="B110" i="5" s="1"/>
  <c r="B111" i="5" s="1"/>
  <c r="B112" i="5" s="1"/>
  <c r="B114" i="5" s="1"/>
  <c r="B115" i="5" s="1"/>
  <c r="B116" i="5" s="1"/>
  <c r="B118" i="5" s="1"/>
  <c r="B119" i="5" s="1"/>
  <c r="B121" i="5" s="1"/>
  <c r="B122" i="5" s="1"/>
  <c r="B124" i="5" s="1"/>
  <c r="B127" i="5" s="1"/>
  <c r="AK61" i="14"/>
  <c r="AK66" i="14" s="1"/>
  <c r="AK64" i="14" s="1"/>
  <c r="AK47" i="14"/>
  <c r="P31" i="5"/>
  <c r="AJ84" i="14"/>
  <c r="AL24" i="14"/>
  <c r="AL41" i="14"/>
  <c r="AK72" i="14"/>
  <c r="AL27" i="14"/>
  <c r="AL28" i="14" s="1"/>
  <c r="W18" i="4"/>
  <c r="V18" i="4"/>
  <c r="K16" i="4"/>
  <c r="G61" i="11" s="1"/>
  <c r="B11" i="4"/>
  <c r="B12" i="4" s="1"/>
  <c r="B13" i="4" s="1"/>
  <c r="AS37" i="1" l="1"/>
  <c r="AP19" i="18"/>
  <c r="AR71" i="6"/>
  <c r="AR138" i="6" s="1"/>
  <c r="AR46" i="5"/>
  <c r="AR114" i="5" s="1"/>
  <c r="AP14" i="18"/>
  <c r="AR40" i="5"/>
  <c r="AR108" i="5" s="1"/>
  <c r="AK65" i="14"/>
  <c r="AK56" i="14" s="1"/>
  <c r="T58" i="8"/>
  <c r="T15" i="8"/>
  <c r="S58" i="8"/>
  <c r="S15" i="8"/>
  <c r="K15" i="8" s="1"/>
  <c r="AK73" i="14"/>
  <c r="AK53" i="14" s="1"/>
  <c r="AK54" i="14" s="1"/>
  <c r="AK52" i="14"/>
  <c r="AK55" i="14"/>
  <c r="AQ109" i="5" s="1"/>
  <c r="AQ110" i="5" s="1"/>
  <c r="AQ116" i="5" s="1"/>
  <c r="X20" i="4"/>
  <c r="AK48" i="14"/>
  <c r="S18" i="4"/>
  <c r="B79" i="5"/>
  <c r="B80" i="5" s="1"/>
  <c r="B81" i="5" s="1"/>
  <c r="B82" i="5" s="1"/>
  <c r="B83" i="5" s="1"/>
  <c r="B84" i="5" s="1"/>
  <c r="K17" i="4"/>
  <c r="G62" i="11" s="1"/>
  <c r="AL25" i="14"/>
  <c r="AL51" i="14" s="1"/>
  <c r="AL40" i="14"/>
  <c r="AL60" i="14" s="1"/>
  <c r="AL59" i="14" s="1"/>
  <c r="AM18" i="14"/>
  <c r="AM20" i="14" s="1"/>
  <c r="AS83" i="6" s="1"/>
  <c r="C4" i="21" s="1" a="1"/>
  <c r="K12" i="4"/>
  <c r="K14" i="4"/>
  <c r="G59" i="11" s="1"/>
  <c r="M18" i="4"/>
  <c r="K13" i="4"/>
  <c r="B14" i="4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V20" i="4"/>
  <c r="K15" i="4"/>
  <c r="G60" i="11" s="1"/>
  <c r="K11" i="4"/>
  <c r="G56" i="11" s="1"/>
  <c r="P20" i="4"/>
  <c r="K10" i="4"/>
  <c r="G55" i="11" s="1"/>
  <c r="C6" i="21" l="1"/>
  <c r="E6" i="21" s="1"/>
  <c r="C8" i="21"/>
  <c r="E8" i="21" s="1"/>
  <c r="C13" i="21"/>
  <c r="E13" i="21" s="1"/>
  <c r="C19" i="21"/>
  <c r="E19" i="21" s="1"/>
  <c r="C24" i="21"/>
  <c r="E24" i="21" s="1"/>
  <c r="C29" i="21"/>
  <c r="E29" i="21" s="1"/>
  <c r="C4" i="21"/>
  <c r="E4" i="21" s="1"/>
  <c r="C9" i="21"/>
  <c r="E9" i="21" s="1"/>
  <c r="C15" i="21"/>
  <c r="E15" i="21" s="1"/>
  <c r="C20" i="21"/>
  <c r="E20" i="21" s="1"/>
  <c r="C25" i="21"/>
  <c r="E25" i="21" s="1"/>
  <c r="C31" i="21"/>
  <c r="E31" i="21" s="1"/>
  <c r="C5" i="21"/>
  <c r="E5" i="21" s="1"/>
  <c r="C11" i="21"/>
  <c r="E11" i="21" s="1"/>
  <c r="C16" i="21"/>
  <c r="E16" i="21" s="1"/>
  <c r="C21" i="21"/>
  <c r="E21" i="21" s="1"/>
  <c r="C27" i="21"/>
  <c r="E27" i="21" s="1"/>
  <c r="C32" i="21"/>
  <c r="E32" i="21" s="1"/>
  <c r="C7" i="21"/>
  <c r="E7" i="21" s="1"/>
  <c r="C12" i="21"/>
  <c r="E12" i="21" s="1"/>
  <c r="C17" i="21"/>
  <c r="E17" i="21" s="1"/>
  <c r="C23" i="21"/>
  <c r="E23" i="21" s="1"/>
  <c r="C28" i="21"/>
  <c r="E28" i="21" s="1"/>
  <c r="C33" i="21"/>
  <c r="E33" i="21" s="1"/>
  <c r="C30" i="21"/>
  <c r="E30" i="21" s="1"/>
  <c r="C14" i="21"/>
  <c r="E14" i="21" s="1"/>
  <c r="C26" i="21"/>
  <c r="E26" i="21" s="1"/>
  <c r="C10" i="21"/>
  <c r="E10" i="21" s="1"/>
  <c r="C22" i="21"/>
  <c r="E22" i="21" s="1"/>
  <c r="C18" i="21"/>
  <c r="E18" i="21" s="1"/>
  <c r="AT37" i="1"/>
  <c r="AU37" i="1" s="1"/>
  <c r="AV37" i="1" s="1"/>
  <c r="AW37" i="1" s="1"/>
  <c r="AX37" i="1" s="1"/>
  <c r="AY37" i="1" s="1"/>
  <c r="AS46" i="5"/>
  <c r="AS114" i="5" s="1"/>
  <c r="AQ19" i="18"/>
  <c r="AS71" i="6"/>
  <c r="AS138" i="6" s="1"/>
  <c r="AS40" i="5"/>
  <c r="AS108" i="5" s="1"/>
  <c r="AQ14" i="18"/>
  <c r="AQ100" i="5"/>
  <c r="AQ101" i="5"/>
  <c r="AQ103" i="5" s="1"/>
  <c r="AQ105" i="5" s="1"/>
  <c r="AQ106" i="5" s="1"/>
  <c r="AQ112" i="5" s="1"/>
  <c r="AQ121" i="5" s="1"/>
  <c r="AQ124" i="5" s="1"/>
  <c r="AS119" i="6"/>
  <c r="AS82" i="6"/>
  <c r="AS90" i="6"/>
  <c r="H3" i="21" s="1" a="1"/>
  <c r="AK49" i="14"/>
  <c r="AQ131" i="5" s="1"/>
  <c r="AQ97" i="6"/>
  <c r="AQ98" i="6" s="1"/>
  <c r="AQ134" i="6" s="1"/>
  <c r="T80" i="8"/>
  <c r="T82" i="8"/>
  <c r="T81" i="8"/>
  <c r="T83" i="8"/>
  <c r="T35" i="8"/>
  <c r="B85" i="5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28" i="5" s="1"/>
  <c r="B129" i="5" s="1"/>
  <c r="B130" i="5" s="1"/>
  <c r="B131" i="5" s="1"/>
  <c r="B132" i="5" s="1"/>
  <c r="K25" i="4"/>
  <c r="K26" i="4" s="1"/>
  <c r="G58" i="11"/>
  <c r="G25" i="9"/>
  <c r="S82" i="8"/>
  <c r="S81" i="8"/>
  <c r="S83" i="8"/>
  <c r="S80" i="8"/>
  <c r="S35" i="8"/>
  <c r="S19" i="4"/>
  <c r="H64" i="11" s="1"/>
  <c r="H65" i="11" s="1"/>
  <c r="R80" i="8"/>
  <c r="R81" i="8"/>
  <c r="R82" i="8"/>
  <c r="K82" i="8" s="1"/>
  <c r="R83" i="8"/>
  <c r="K19" i="8"/>
  <c r="H12" i="11" s="1"/>
  <c r="R35" i="8"/>
  <c r="K23" i="4"/>
  <c r="G57" i="11"/>
  <c r="AK50" i="14"/>
  <c r="AL46" i="14"/>
  <c r="W20" i="4"/>
  <c r="S20" i="4" s="1"/>
  <c r="Q20" i="4"/>
  <c r="M20" i="4" s="1"/>
  <c r="P35" i="8"/>
  <c r="AL42" i="14"/>
  <c r="AR91" i="6" s="1"/>
  <c r="AM22" i="14"/>
  <c r="AM26" i="14"/>
  <c r="AN9" i="14" s="1"/>
  <c r="K18" i="4"/>
  <c r="H3" i="21" l="1"/>
  <c r="J3" i="21" s="1"/>
  <c r="H18" i="21"/>
  <c r="J18" i="21" s="1"/>
  <c r="H29" i="21"/>
  <c r="J29" i="21" s="1"/>
  <c r="H13" i="21"/>
  <c r="J13" i="21" s="1"/>
  <c r="H28" i="21"/>
  <c r="J28" i="21" s="1"/>
  <c r="H12" i="21"/>
  <c r="J12" i="21" s="1"/>
  <c r="H27" i="21"/>
  <c r="J27" i="21" s="1"/>
  <c r="H11" i="21"/>
  <c r="J11" i="21" s="1"/>
  <c r="H7" i="21"/>
  <c r="J7" i="21" s="1"/>
  <c r="H10" i="21"/>
  <c r="J10" i="21" s="1"/>
  <c r="H5" i="21"/>
  <c r="J5" i="21" s="1"/>
  <c r="H4" i="21"/>
  <c r="J4" i="21" s="1"/>
  <c r="H22" i="21"/>
  <c r="J22" i="21" s="1"/>
  <c r="H32" i="21"/>
  <c r="J32" i="21" s="1"/>
  <c r="H15" i="21"/>
  <c r="J15" i="21" s="1"/>
  <c r="H30" i="21"/>
  <c r="J30" i="21" s="1"/>
  <c r="H14" i="21"/>
  <c r="J14" i="21" s="1"/>
  <c r="H25" i="21"/>
  <c r="J25" i="21" s="1"/>
  <c r="H9" i="21"/>
  <c r="J9" i="21" s="1"/>
  <c r="H24" i="21"/>
  <c r="J24" i="21" s="1"/>
  <c r="H8" i="21"/>
  <c r="J8" i="21" s="1"/>
  <c r="H23" i="21"/>
  <c r="J23" i="21" s="1"/>
  <c r="H21" i="21"/>
  <c r="J21" i="21" s="1"/>
  <c r="H20" i="21"/>
  <c r="J20" i="21" s="1"/>
  <c r="H17" i="21"/>
  <c r="J17" i="21" s="1"/>
  <c r="H31" i="21"/>
  <c r="J31" i="21" s="1"/>
  <c r="H26" i="21"/>
  <c r="J26" i="21" s="1"/>
  <c r="H19" i="21"/>
  <c r="J19" i="21" s="1"/>
  <c r="H6" i="21"/>
  <c r="J6" i="21" s="1"/>
  <c r="H16" i="21"/>
  <c r="J16" i="21" s="1"/>
  <c r="K80" i="8"/>
  <c r="AR96" i="6"/>
  <c r="AS93" i="6"/>
  <c r="AS122" i="5" s="1"/>
  <c r="AS133" i="5"/>
  <c r="K81" i="8"/>
  <c r="K83" i="8"/>
  <c r="T84" i="8"/>
  <c r="G12" i="11"/>
  <c r="G63" i="11"/>
  <c r="AL61" i="14"/>
  <c r="AL66" i="14" s="1"/>
  <c r="AL64" i="14" s="1"/>
  <c r="S84" i="8"/>
  <c r="R84" i="8"/>
  <c r="AI76" i="8"/>
  <c r="AI32" i="8"/>
  <c r="AL47" i="14"/>
  <c r="B134" i="5"/>
  <c r="B135" i="5" s="1"/>
  <c r="B136" i="5" s="1"/>
  <c r="B137" i="5" s="1"/>
  <c r="B138" i="5" s="1"/>
  <c r="B139" i="5" s="1"/>
  <c r="B133" i="5"/>
  <c r="AL72" i="14"/>
  <c r="AK84" i="14"/>
  <c r="AM24" i="14"/>
  <c r="AM41" i="14"/>
  <c r="AM27" i="14"/>
  <c r="AM28" i="14" s="1"/>
  <c r="K19" i="4"/>
  <c r="Q35" i="8"/>
  <c r="AL65" i="14" l="1"/>
  <c r="B141" i="5"/>
  <c r="AL73" i="14"/>
  <c r="AL53" i="14" s="1"/>
  <c r="AL54" i="14" s="1"/>
  <c r="AL52" i="14"/>
  <c r="AL56" i="14"/>
  <c r="K84" i="8"/>
  <c r="G40" i="11" s="1"/>
  <c r="AL48" i="14"/>
  <c r="AR97" i="6" s="1"/>
  <c r="AR98" i="6" s="1"/>
  <c r="AR134" i="6" s="1"/>
  <c r="H19" i="9"/>
  <c r="G20" i="9" s="1"/>
  <c r="E20" i="9" s="1"/>
  <c r="G21" i="9" s="1"/>
  <c r="G64" i="11"/>
  <c r="G65" i="11" s="1"/>
  <c r="AM25" i="14"/>
  <c r="AM51" i="14" s="1"/>
  <c r="AM40" i="14"/>
  <c r="AM60" i="14" s="1"/>
  <c r="AM59" i="14" s="1"/>
  <c r="AN18" i="14"/>
  <c r="AN20" i="14" s="1"/>
  <c r="G70" i="11"/>
  <c r="K20" i="4"/>
  <c r="D7" i="9"/>
  <c r="AR101" i="5" l="1"/>
  <c r="AR103" i="5" s="1"/>
  <c r="AR105" i="5" s="1"/>
  <c r="AR100" i="5"/>
  <c r="AL55" i="14"/>
  <c r="AR109" i="5" s="1"/>
  <c r="AR110" i="5" s="1"/>
  <c r="AR116" i="5" s="1"/>
  <c r="AL50" i="14"/>
  <c r="AL49" i="14"/>
  <c r="AR131" i="5" s="1"/>
  <c r="AM46" i="14"/>
  <c r="G26" i="9"/>
  <c r="H20" i="9"/>
  <c r="D21" i="9"/>
  <c r="E21" i="9" s="1"/>
  <c r="H23" i="9"/>
  <c r="AM42" i="14"/>
  <c r="AS91" i="6" s="1"/>
  <c r="AN22" i="14"/>
  <c r="AN26" i="14"/>
  <c r="AO9" i="14" s="1"/>
  <c r="AS96" i="6" l="1"/>
  <c r="AR106" i="5"/>
  <c r="AR112" i="5" s="1"/>
  <c r="AR121" i="5" s="1"/>
  <c r="AR124" i="5" s="1"/>
  <c r="AM47" i="14"/>
  <c r="AM61" i="14"/>
  <c r="AM66" i="14" s="1"/>
  <c r="AM64" i="14" s="1"/>
  <c r="C7" i="9"/>
  <c r="D22" i="9" s="1"/>
  <c r="AL84" i="14"/>
  <c r="AN24" i="14"/>
  <c r="AN41" i="14"/>
  <c r="AM72" i="14"/>
  <c r="AN27" i="14"/>
  <c r="AN28" i="14" s="1"/>
  <c r="AM65" i="14" l="1"/>
  <c r="AM73" i="14"/>
  <c r="AM53" i="14" s="1"/>
  <c r="AM54" i="14" s="1"/>
  <c r="AM52" i="14"/>
  <c r="AM56" i="14"/>
  <c r="D8" i="9"/>
  <c r="AM48" i="14"/>
  <c r="AN25" i="14"/>
  <c r="AN51" i="14" s="1"/>
  <c r="AN40" i="14"/>
  <c r="AN60" i="14" s="1"/>
  <c r="AN59" i="14" s="1"/>
  <c r="AO18" i="14"/>
  <c r="AO20" i="14" s="1"/>
  <c r="AS101" i="5" l="1"/>
  <c r="AS103" i="5" s="1"/>
  <c r="AS105" i="5" s="1"/>
  <c r="AS100" i="5"/>
  <c r="AM49" i="14"/>
  <c r="AS131" i="5" s="1"/>
  <c r="AS97" i="6"/>
  <c r="AS98" i="6" s="1"/>
  <c r="AS134" i="6" s="1"/>
  <c r="AM55" i="14"/>
  <c r="AS109" i="5" s="1"/>
  <c r="AS110" i="5" s="1"/>
  <c r="AS116" i="5" s="1"/>
  <c r="AM50" i="14"/>
  <c r="AN46" i="14"/>
  <c r="AN42" i="14"/>
  <c r="AO22" i="14"/>
  <c r="AO26" i="14"/>
  <c r="AO27" i="14" s="1"/>
  <c r="AO28" i="14" s="1"/>
  <c r="AS106" i="5" l="1"/>
  <c r="AS112" i="5" s="1"/>
  <c r="AS121" i="5" s="1"/>
  <c r="AS124" i="5" s="1"/>
  <c r="AN61" i="14"/>
  <c r="AN66" i="14" s="1"/>
  <c r="AN64" i="14" s="1"/>
  <c r="AN65" i="14" s="1"/>
  <c r="AN47" i="14"/>
  <c r="AM84" i="14"/>
  <c r="AO24" i="14"/>
  <c r="AO41" i="14"/>
  <c r="AN72" i="14"/>
  <c r="AN73" i="14" l="1"/>
  <c r="AN53" i="14" s="1"/>
  <c r="AN54" i="14" s="1"/>
  <c r="AN52" i="14"/>
  <c r="AN55" i="14"/>
  <c r="AN56" i="14"/>
  <c r="AN48" i="14"/>
  <c r="AN49" i="14" s="1"/>
  <c r="AO25" i="14"/>
  <c r="AO51" i="14" s="1"/>
  <c r="AO40" i="14"/>
  <c r="AO60" i="14" s="1"/>
  <c r="AO59" i="14" s="1"/>
  <c r="N52" i="1"/>
  <c r="N37" i="6" s="1"/>
  <c r="B34" i="1"/>
  <c r="B35" i="1" s="1"/>
  <c r="AN50" i="14" l="1"/>
  <c r="AO46" i="14"/>
  <c r="N104" i="6"/>
  <c r="N105" i="6" s="1"/>
  <c r="N38" i="6"/>
  <c r="AO42" i="14"/>
  <c r="O52" i="1"/>
  <c r="O37" i="6" s="1"/>
  <c r="O4" i="6"/>
  <c r="P4" i="8"/>
  <c r="F11" i="19" s="1"/>
  <c r="F23" i="19" s="1"/>
  <c r="G23" i="19" s="1"/>
  <c r="H23" i="19" s="1"/>
  <c r="I23" i="19" s="1"/>
  <c r="J23" i="19" s="1"/>
  <c r="K23" i="19" s="1"/>
  <c r="L23" i="19" s="1"/>
  <c r="M23" i="19" s="1"/>
  <c r="N23" i="19" s="1"/>
  <c r="O23" i="19" s="1"/>
  <c r="P23" i="19" s="1"/>
  <c r="Q23" i="19" s="1"/>
  <c r="R23" i="19" s="1"/>
  <c r="S23" i="19" s="1"/>
  <c r="T23" i="19" s="1"/>
  <c r="U23" i="19" s="1"/>
  <c r="V23" i="19" s="1"/>
  <c r="W23" i="19" s="1"/>
  <c r="X23" i="19" s="1"/>
  <c r="Y23" i="19" s="1"/>
  <c r="Z23" i="19" s="1"/>
  <c r="AA23" i="19" s="1"/>
  <c r="AB23" i="19" s="1"/>
  <c r="AC23" i="19" s="1"/>
  <c r="AD23" i="19" s="1"/>
  <c r="AE23" i="19" s="1"/>
  <c r="AF23" i="19" s="1"/>
  <c r="AG23" i="19" s="1"/>
  <c r="AH23" i="19" s="1"/>
  <c r="AI23" i="19" s="1"/>
  <c r="AJ23" i="19" s="1"/>
  <c r="B36" i="1"/>
  <c r="B37" i="1" s="1"/>
  <c r="B41" i="1" s="1"/>
  <c r="B42" i="1" s="1"/>
  <c r="B43" i="1" s="1"/>
  <c r="B44" i="1" s="1"/>
  <c r="B49" i="1" s="1"/>
  <c r="B50" i="1" s="1"/>
  <c r="B51" i="1" s="1"/>
  <c r="B52" i="1" s="1"/>
  <c r="B58" i="1" s="1"/>
  <c r="O4" i="5"/>
  <c r="N4" i="1"/>
  <c r="AO61" i="14" l="1"/>
  <c r="AO66" i="14" s="1"/>
  <c r="AO64" i="14" s="1"/>
  <c r="AO65" i="14" s="1"/>
  <c r="AO47" i="14"/>
  <c r="AO48" i="14" s="1"/>
  <c r="AO49" i="14" s="1"/>
  <c r="O38" i="6"/>
  <c r="P38" i="6" s="1"/>
  <c r="O104" i="6"/>
  <c r="O105" i="6" s="1"/>
  <c r="H3" i="14"/>
  <c r="H3" i="16"/>
  <c r="AO72" i="14"/>
  <c r="P52" i="1"/>
  <c r="P37" i="6" s="1"/>
  <c r="N4" i="5"/>
  <c r="N4" i="6"/>
  <c r="M4" i="1"/>
  <c r="Q38" i="6" l="1"/>
  <c r="R38" i="6" s="1"/>
  <c r="AO73" i="14"/>
  <c r="AO53" i="14" s="1"/>
  <c r="AO54" i="14" s="1"/>
  <c r="AO52" i="14"/>
  <c r="AO55" i="14"/>
  <c r="AO56" i="14"/>
  <c r="AO50" i="14"/>
  <c r="P105" i="6"/>
  <c r="P39" i="6"/>
  <c r="P104" i="6"/>
  <c r="G3" i="14"/>
  <c r="G3" i="16"/>
  <c r="AN84" i="14"/>
  <c r="Q52" i="1"/>
  <c r="Q37" i="6" s="1"/>
  <c r="B62" i="1"/>
  <c r="B63" i="1" s="1"/>
  <c r="B64" i="1" s="1"/>
  <c r="M4" i="6"/>
  <c r="M4" i="5"/>
  <c r="P106" i="6" l="1"/>
  <c r="P107" i="6" s="1"/>
  <c r="Q105" i="6"/>
  <c r="P40" i="6"/>
  <c r="Q39" i="6"/>
  <c r="Q104" i="6"/>
  <c r="R52" i="1"/>
  <c r="R37" i="6" s="1"/>
  <c r="B69" i="1"/>
  <c r="B71" i="1" s="1"/>
  <c r="B72" i="1" s="1"/>
  <c r="B73" i="1" s="1"/>
  <c r="B65" i="1"/>
  <c r="B66" i="1" s="1"/>
  <c r="P41" i="6" l="1"/>
  <c r="P108" i="6" s="1"/>
  <c r="P117" i="6" s="1"/>
  <c r="Q106" i="6"/>
  <c r="Q107" i="6" s="1"/>
  <c r="Q108" i="6" s="1"/>
  <c r="Q117" i="6" s="1"/>
  <c r="Q40" i="6"/>
  <c r="S38" i="6"/>
  <c r="R105" i="6"/>
  <c r="R39" i="6"/>
  <c r="R104" i="6"/>
  <c r="AO84" i="14"/>
  <c r="S52" i="1"/>
  <c r="S37" i="6" s="1"/>
  <c r="B74" i="1"/>
  <c r="P50" i="6" l="1"/>
  <c r="R106" i="6"/>
  <c r="R107" i="6" s="1"/>
  <c r="R108" i="6" s="1"/>
  <c r="R117" i="6" s="1"/>
  <c r="R40" i="6"/>
  <c r="T38" i="6"/>
  <c r="S105" i="6"/>
  <c r="S39" i="6"/>
  <c r="S104" i="6"/>
  <c r="B75" i="1"/>
  <c r="B77" i="1" s="1"/>
  <c r="B78" i="1" s="1"/>
  <c r="B79" i="1" s="1"/>
  <c r="B80" i="1" s="1"/>
  <c r="T52" i="1"/>
  <c r="T37" i="6" s="1"/>
  <c r="S106" i="6" l="1"/>
  <c r="S107" i="6" s="1"/>
  <c r="S108" i="6" s="1"/>
  <c r="S117" i="6" s="1"/>
  <c r="S40" i="6"/>
  <c r="U38" i="6"/>
  <c r="T105" i="6"/>
  <c r="U52" i="1"/>
  <c r="U37" i="6" s="1"/>
  <c r="U104" i="6" s="1"/>
  <c r="T39" i="6"/>
  <c r="T104" i="6"/>
  <c r="B81" i="1"/>
  <c r="B82" i="1" s="1"/>
  <c r="V52" i="1" l="1"/>
  <c r="V37" i="6" s="1"/>
  <c r="V104" i="6" s="1"/>
  <c r="T106" i="6"/>
  <c r="T107" i="6" s="1"/>
  <c r="T108" i="6" s="1"/>
  <c r="T117" i="6" s="1"/>
  <c r="B83" i="1"/>
  <c r="T40" i="6"/>
  <c r="U39" i="6"/>
  <c r="V38" i="6"/>
  <c r="U105" i="6"/>
  <c r="U106" i="6" s="1"/>
  <c r="U107" i="6" s="1"/>
  <c r="U108" i="6" s="1"/>
  <c r="U117" i="6" s="1"/>
  <c r="W52" i="1"/>
  <c r="W37" i="6" s="1"/>
  <c r="B84" i="1" l="1"/>
  <c r="W38" i="6"/>
  <c r="V105" i="6"/>
  <c r="V106" i="6" s="1"/>
  <c r="V107" i="6" s="1"/>
  <c r="V108" i="6" s="1"/>
  <c r="V117" i="6" s="1"/>
  <c r="U40" i="6"/>
  <c r="V39" i="6"/>
  <c r="W104" i="6"/>
  <c r="X52" i="1"/>
  <c r="X37" i="6" s="1"/>
  <c r="B86" i="1" l="1"/>
  <c r="X38" i="6"/>
  <c r="X39" i="6" s="1"/>
  <c r="W105" i="6"/>
  <c r="W106" i="6" s="1"/>
  <c r="W107" i="6" s="1"/>
  <c r="W108" i="6" s="1"/>
  <c r="W117" i="6" s="1"/>
  <c r="V40" i="6"/>
  <c r="W39" i="6"/>
  <c r="X104" i="6"/>
  <c r="Y52" i="1"/>
  <c r="Y37" i="6" s="1"/>
  <c r="B89" i="1" l="1"/>
  <c r="B90" i="1" s="1"/>
  <c r="B91" i="1" s="1"/>
  <c r="B92" i="1" s="1"/>
  <c r="B93" i="1" s="1"/>
  <c r="W40" i="6"/>
  <c r="X40" i="6"/>
  <c r="Y38" i="6"/>
  <c r="X105" i="6"/>
  <c r="X106" i="6" s="1"/>
  <c r="X107" i="6" s="1"/>
  <c r="X108" i="6" s="1"/>
  <c r="X117" i="6" s="1"/>
  <c r="Y104" i="6"/>
  <c r="Z52" i="1"/>
  <c r="Z37" i="6" s="1"/>
  <c r="Z38" i="6" l="1"/>
  <c r="Z39" i="6" s="1"/>
  <c r="Y105" i="6"/>
  <c r="Y106" i="6" s="1"/>
  <c r="Y107" i="6" s="1"/>
  <c r="Y108" i="6" s="1"/>
  <c r="Y117" i="6" s="1"/>
  <c r="Y39" i="6"/>
  <c r="Z104" i="6"/>
  <c r="AA52" i="1"/>
  <c r="AA37" i="6" s="1"/>
  <c r="Z40" i="6" l="1"/>
  <c r="Y40" i="6"/>
  <c r="AA38" i="6"/>
  <c r="AA39" i="6" s="1"/>
  <c r="Z105" i="6"/>
  <c r="Z106" i="6" s="1"/>
  <c r="Z107" i="6" s="1"/>
  <c r="Z108" i="6" s="1"/>
  <c r="Z117" i="6" s="1"/>
  <c r="AA104" i="6"/>
  <c r="AB52" i="1"/>
  <c r="AB37" i="6" s="1"/>
  <c r="AB38" i="6" l="1"/>
  <c r="AB39" i="6" s="1"/>
  <c r="AA105" i="6"/>
  <c r="AA106" i="6" s="1"/>
  <c r="AA107" i="6" s="1"/>
  <c r="AA108" i="6" s="1"/>
  <c r="AA117" i="6" s="1"/>
  <c r="AA40" i="6"/>
  <c r="AB104" i="6"/>
  <c r="AC52" i="1"/>
  <c r="AC37" i="6" s="1"/>
  <c r="AB40" i="6" l="1"/>
  <c r="AC38" i="6"/>
  <c r="AC39" i="6" s="1"/>
  <c r="AB105" i="6"/>
  <c r="AB106" i="6" s="1"/>
  <c r="AB107" i="6" s="1"/>
  <c r="AB108" i="6" s="1"/>
  <c r="AB117" i="6" s="1"/>
  <c r="AC104" i="6"/>
  <c r="AD52" i="1"/>
  <c r="AD37" i="6" s="1"/>
  <c r="AD38" i="6" l="1"/>
  <c r="AD39" i="6" s="1"/>
  <c r="AC105" i="6"/>
  <c r="AC106" i="6" s="1"/>
  <c r="AC107" i="6" s="1"/>
  <c r="AC108" i="6" s="1"/>
  <c r="AC117" i="6" s="1"/>
  <c r="AC40" i="6"/>
  <c r="AD104" i="6"/>
  <c r="AE52" i="1"/>
  <c r="AE37" i="6" s="1"/>
  <c r="AD40" i="6" l="1"/>
  <c r="AE38" i="6"/>
  <c r="AE39" i="6" s="1"/>
  <c r="AD105" i="6"/>
  <c r="AD106" i="6" s="1"/>
  <c r="AD107" i="6" s="1"/>
  <c r="AD108" i="6" s="1"/>
  <c r="AD117" i="6" s="1"/>
  <c r="AE104" i="6"/>
  <c r="AF52" i="1"/>
  <c r="AF37" i="6" s="1"/>
  <c r="AE40" i="6" l="1"/>
  <c r="AF38" i="6"/>
  <c r="AF39" i="6" s="1"/>
  <c r="AE105" i="6"/>
  <c r="AE106" i="6" s="1"/>
  <c r="AE107" i="6" s="1"/>
  <c r="AE108" i="6" s="1"/>
  <c r="AE117" i="6" s="1"/>
  <c r="AF104" i="6"/>
  <c r="AG52" i="1"/>
  <c r="AG37" i="6" s="1"/>
  <c r="AG38" i="6" l="1"/>
  <c r="AG39" i="6" s="1"/>
  <c r="AF105" i="6"/>
  <c r="AF106" i="6" s="1"/>
  <c r="AF107" i="6" s="1"/>
  <c r="AF108" i="6" s="1"/>
  <c r="AF117" i="6" s="1"/>
  <c r="AF40" i="6"/>
  <c r="AG104" i="6"/>
  <c r="AH52" i="1"/>
  <c r="AH37" i="6" s="1"/>
  <c r="AG40" i="6" l="1"/>
  <c r="AH38" i="6"/>
  <c r="AG105" i="6"/>
  <c r="AG106" i="6" s="1"/>
  <c r="AG107" i="6" s="1"/>
  <c r="AG108" i="6" s="1"/>
  <c r="AG117" i="6" s="1"/>
  <c r="AH104" i="6"/>
  <c r="AI52" i="1"/>
  <c r="AI37" i="6" s="1"/>
  <c r="AI104" i="6" s="1"/>
  <c r="AI38" i="6" l="1"/>
  <c r="AJ38" i="6" s="1"/>
  <c r="AH105" i="6"/>
  <c r="AH106" i="6" s="1"/>
  <c r="AH107" i="6" s="1"/>
  <c r="AH108" i="6" s="1"/>
  <c r="AH117" i="6" s="1"/>
  <c r="AH39" i="6"/>
  <c r="AJ52" i="1"/>
  <c r="AJ37" i="6" s="1"/>
  <c r="AJ104" i="6" l="1"/>
  <c r="AJ39" i="6"/>
  <c r="AJ40" i="6" s="1"/>
  <c r="AK38" i="6"/>
  <c r="AJ105" i="6"/>
  <c r="AI105" i="6"/>
  <c r="AI106" i="6" s="1"/>
  <c r="AI107" i="6" s="1"/>
  <c r="AI108" i="6" s="1"/>
  <c r="AI117" i="6" s="1"/>
  <c r="AI39" i="6"/>
  <c r="AI40" i="6" s="1"/>
  <c r="AI41" i="6" s="1"/>
  <c r="AI50" i="6" s="1"/>
  <c r="AH40" i="6"/>
  <c r="AK52" i="1"/>
  <c r="AK37" i="6" s="1"/>
  <c r="AK104" i="6" s="1"/>
  <c r="AK39" i="6" l="1"/>
  <c r="AK40" i="6" s="1"/>
  <c r="AL38" i="6"/>
  <c r="AK105" i="6"/>
  <c r="AK106" i="6"/>
  <c r="AK107" i="6" s="1"/>
  <c r="AK108" i="6" s="1"/>
  <c r="AK117" i="6" s="1"/>
  <c r="AJ106" i="6"/>
  <c r="AJ107" i="6" s="1"/>
  <c r="AJ108" i="6" s="1"/>
  <c r="AJ117" i="6" s="1"/>
  <c r="AL52" i="1"/>
  <c r="AL37" i="6" s="1"/>
  <c r="AM38" i="6" l="1"/>
  <c r="AL105" i="6"/>
  <c r="AL104" i="6"/>
  <c r="AL39" i="6"/>
  <c r="AL40" i="6" s="1"/>
  <c r="AM52" i="1"/>
  <c r="AM37" i="6" s="1"/>
  <c r="AL106" i="6" l="1"/>
  <c r="AL107" i="6" s="1"/>
  <c r="AL108" i="6" s="1"/>
  <c r="AL117" i="6" s="1"/>
  <c r="AM104" i="6"/>
  <c r="AM39" i="6"/>
  <c r="AM40" i="6" s="1"/>
  <c r="AM105" i="6"/>
  <c r="AM106" i="6" s="1"/>
  <c r="AM107" i="6" s="1"/>
  <c r="AM108" i="6" s="1"/>
  <c r="AM117" i="6" s="1"/>
  <c r="AN38" i="6"/>
  <c r="AN52" i="1"/>
  <c r="AN37" i="6" s="1"/>
  <c r="AN104" i="6" l="1"/>
  <c r="AN39" i="6"/>
  <c r="AN40" i="6" s="1"/>
  <c r="AN105" i="6"/>
  <c r="AO38" i="6"/>
  <c r="AO52" i="1"/>
  <c r="AO37" i="6" s="1"/>
  <c r="AO105" i="6" l="1"/>
  <c r="AP38" i="6"/>
  <c r="AO104" i="6"/>
  <c r="AO106" i="6" s="1"/>
  <c r="AO107" i="6" s="1"/>
  <c r="AO108" i="6" s="1"/>
  <c r="AO117" i="6" s="1"/>
  <c r="AO39" i="6"/>
  <c r="AO40" i="6" s="1"/>
  <c r="AN106" i="6"/>
  <c r="AN107" i="6" s="1"/>
  <c r="AN108" i="6" s="1"/>
  <c r="AN117" i="6" s="1"/>
  <c r="AP52" i="1"/>
  <c r="AP37" i="6" s="1"/>
  <c r="AP105" i="6" l="1"/>
  <c r="AQ38" i="6"/>
  <c r="AP104" i="6"/>
  <c r="AP39" i="6"/>
  <c r="AP40" i="6" s="1"/>
  <c r="AQ52" i="1"/>
  <c r="AQ37" i="6" s="1"/>
  <c r="AQ105" i="6" l="1"/>
  <c r="AR38" i="6"/>
  <c r="AQ104" i="6"/>
  <c r="AQ39" i="6"/>
  <c r="AQ40" i="6" s="1"/>
  <c r="AP106" i="6"/>
  <c r="AP107" i="6" s="1"/>
  <c r="AP108" i="6" s="1"/>
  <c r="AP117" i="6" s="1"/>
  <c r="AR52" i="1"/>
  <c r="AR37" i="6" s="1"/>
  <c r="AR105" i="6" l="1"/>
  <c r="AS38" i="6"/>
  <c r="AR104" i="6"/>
  <c r="AR106" i="6" s="1"/>
  <c r="AR107" i="6" s="1"/>
  <c r="AR108" i="6" s="1"/>
  <c r="AR117" i="6" s="1"/>
  <c r="AR39" i="6"/>
  <c r="AR40" i="6" s="1"/>
  <c r="AQ106" i="6"/>
  <c r="AQ107" i="6" s="1"/>
  <c r="AQ108" i="6" s="1"/>
  <c r="AQ117" i="6" s="1"/>
  <c r="AS52" i="1"/>
  <c r="AS37" i="6" s="1"/>
  <c r="AS104" i="6" l="1"/>
  <c r="AS39" i="6"/>
  <c r="AS40" i="6" s="1"/>
  <c r="AS105" i="6"/>
  <c r="E7" i="20" a="1"/>
  <c r="AT52" i="1"/>
  <c r="E9" i="20" l="1"/>
  <c r="E7" i="20"/>
  <c r="E12" i="20"/>
  <c r="E18" i="20"/>
  <c r="E23" i="20"/>
  <c r="E28" i="20"/>
  <c r="E34" i="20"/>
  <c r="E16" i="20"/>
  <c r="E32" i="20"/>
  <c r="E8" i="20"/>
  <c r="E14" i="20"/>
  <c r="E19" i="20"/>
  <c r="E24" i="20"/>
  <c r="E30" i="20"/>
  <c r="E35" i="20"/>
  <c r="E11" i="20"/>
  <c r="E22" i="20"/>
  <c r="E27" i="20"/>
  <c r="E10" i="20"/>
  <c r="E15" i="20"/>
  <c r="E20" i="20"/>
  <c r="E26" i="20"/>
  <c r="E31" i="20"/>
  <c r="E36" i="20"/>
  <c r="E21" i="20"/>
  <c r="E33" i="20"/>
  <c r="E17" i="20"/>
  <c r="E25" i="20"/>
  <c r="E29" i="20"/>
  <c r="E13" i="20"/>
  <c r="AS106" i="6"/>
  <c r="AS107" i="6" s="1"/>
  <c r="AS108" i="6" s="1"/>
  <c r="AS117" i="6" s="1"/>
  <c r="AU52" i="1"/>
  <c r="AV52" i="1" l="1"/>
  <c r="AW52" i="1" l="1"/>
  <c r="AX52" i="1" l="1"/>
  <c r="AY52" i="1" l="1"/>
  <c r="B82" i="14" l="1"/>
  <c r="B83" i="14" s="1"/>
  <c r="B84" i="14" s="1"/>
  <c r="G59" i="14" l="1"/>
  <c r="G61" i="14" s="1"/>
  <c r="M98" i="6" l="1"/>
  <c r="M134" i="6" s="1"/>
  <c r="G53" i="14"/>
  <c r="M139" i="6" l="1"/>
  <c r="G52" i="14"/>
  <c r="M83" i="5" s="1"/>
  <c r="G82" i="14"/>
  <c r="G84" i="14" s="1"/>
  <c r="M82" i="5" l="1"/>
  <c r="M99" i="5" s="1"/>
  <c r="M15" i="5"/>
  <c r="M14" i="5" s="1"/>
  <c r="M31" i="5" s="1"/>
  <c r="M49" i="6" l="1"/>
  <c r="M57" i="6"/>
  <c r="M59" i="6" s="1"/>
  <c r="M116" i="6"/>
  <c r="M124" i="6"/>
  <c r="M126" i="6" s="1"/>
  <c r="M118" i="6" l="1"/>
  <c r="M121" i="6" s="1"/>
  <c r="M120" i="6"/>
  <c r="M51" i="6"/>
  <c r="M54" i="6" s="1"/>
  <c r="M53" i="6"/>
  <c r="M128" i="6" l="1"/>
  <c r="M61" i="6"/>
  <c r="K33" i="16" l="1"/>
  <c r="K34" i="16" l="1"/>
  <c r="K12" i="16" s="1"/>
  <c r="K9" i="16" s="1"/>
  <c r="K16" i="16"/>
  <c r="K10" i="16" l="1"/>
  <c r="K18" i="16" s="1"/>
  <c r="K20" i="16" s="1"/>
  <c r="Q14" i="6"/>
  <c r="K26" i="16" l="1"/>
  <c r="K27" i="16" s="1"/>
  <c r="K28" i="16" s="1"/>
  <c r="K22" i="16"/>
  <c r="K24" i="16" l="1"/>
  <c r="K41" i="16"/>
  <c r="Q52" i="6"/>
  <c r="Q23" i="6"/>
  <c r="Q15" i="6"/>
  <c r="Q41" i="6" s="1"/>
  <c r="Q50" i="6" s="1"/>
  <c r="Q65" i="5" l="1"/>
  <c r="Q26" i="6"/>
  <c r="Q54" i="5" s="1"/>
  <c r="K25" i="16"/>
  <c r="K51" i="16" s="1"/>
  <c r="K40" i="16"/>
  <c r="K60" i="16" s="1"/>
  <c r="K59" i="16" s="1"/>
  <c r="K61" i="16" l="1"/>
  <c r="K66" i="16" s="1"/>
  <c r="K64" i="16" s="1"/>
  <c r="K65" i="16" s="1"/>
  <c r="K42" i="16"/>
  <c r="Q24" i="6" s="1"/>
  <c r="K56" i="16" l="1"/>
  <c r="K71" i="16"/>
  <c r="K72" i="16" s="1"/>
  <c r="Q33" i="5" l="1"/>
  <c r="Q35" i="5" s="1"/>
  <c r="Q37" i="5" s="1"/>
  <c r="Q32" i="5"/>
  <c r="K53" i="16"/>
  <c r="K54" i="16" s="1"/>
  <c r="K52" i="16"/>
  <c r="K79" i="16" s="1"/>
  <c r="K81" i="16" s="1"/>
  <c r="K55" i="16"/>
  <c r="Q17" i="5"/>
  <c r="Q14" i="5" s="1"/>
  <c r="Q31" i="5" s="1"/>
  <c r="N33" i="16"/>
  <c r="N16" i="16" s="1"/>
  <c r="L33" i="16"/>
  <c r="M33" i="16"/>
  <c r="M16" i="16" s="1"/>
  <c r="O33" i="16"/>
  <c r="O16" i="16" s="1"/>
  <c r="Q41" i="5" l="1"/>
  <c r="Q42" i="5" s="1"/>
  <c r="Q48" i="5" s="1"/>
  <c r="Q38" i="5"/>
  <c r="M34" i="16"/>
  <c r="M12" i="16" s="1"/>
  <c r="L16" i="16"/>
  <c r="L34" i="16"/>
  <c r="O34" i="16"/>
  <c r="O12" i="16" s="1"/>
  <c r="N34" i="16"/>
  <c r="N12" i="16" s="1"/>
  <c r="Q44" i="5" l="1"/>
  <c r="Q53" i="5" s="1"/>
  <c r="Q56" i="5" s="1"/>
  <c r="L12" i="16"/>
  <c r="L9" i="16" s="1"/>
  <c r="P33" i="16"/>
  <c r="P16" i="16" s="1"/>
  <c r="P34" i="16" l="1"/>
  <c r="P12" i="16" s="1"/>
  <c r="Q33" i="16"/>
  <c r="Q34" i="16" l="1"/>
  <c r="Q12" i="16" s="1"/>
  <c r="Q16" i="16"/>
  <c r="L10" i="16"/>
  <c r="L18" i="16" s="1"/>
  <c r="L20" i="16" s="1"/>
  <c r="R14" i="6"/>
  <c r="R33" i="16"/>
  <c r="R16" i="16" s="1"/>
  <c r="S14" i="6" l="1"/>
  <c r="L22" i="16"/>
  <c r="L26" i="16"/>
  <c r="S33" i="16"/>
  <c r="R34" i="16"/>
  <c r="R12" i="16" s="1"/>
  <c r="S34" i="16" l="1"/>
  <c r="S12" i="16" s="1"/>
  <c r="S16" i="16"/>
  <c r="L41" i="16"/>
  <c r="L24" i="16"/>
  <c r="T14" i="6"/>
  <c r="R52" i="6"/>
  <c r="R23" i="6"/>
  <c r="R15" i="6"/>
  <c r="R41" i="6" s="1"/>
  <c r="R50" i="6" s="1"/>
  <c r="M10" i="16"/>
  <c r="L27" i="16"/>
  <c r="L28" i="16" s="1"/>
  <c r="M9" i="16"/>
  <c r="T33" i="16"/>
  <c r="R26" i="6" l="1"/>
  <c r="R54" i="5" s="1"/>
  <c r="R65" i="5"/>
  <c r="T34" i="16"/>
  <c r="T12" i="16" s="1"/>
  <c r="T16" i="16"/>
  <c r="U14" i="6"/>
  <c r="M18" i="16"/>
  <c r="M20" i="16" s="1"/>
  <c r="L25" i="16"/>
  <c r="L51" i="16" s="1"/>
  <c r="L40" i="16"/>
  <c r="L60" i="16" s="1"/>
  <c r="L59" i="16" s="1"/>
  <c r="U33" i="16"/>
  <c r="U16" i="16" s="1"/>
  <c r="L61" i="16" l="1"/>
  <c r="L66" i="16" s="1"/>
  <c r="L64" i="16" s="1"/>
  <c r="L65" i="16" s="1"/>
  <c r="U34" i="16"/>
  <c r="U12" i="16" s="1"/>
  <c r="M26" i="16"/>
  <c r="M22" i="16"/>
  <c r="V14" i="6"/>
  <c r="L42" i="16"/>
  <c r="R24" i="6" s="1"/>
  <c r="V33" i="16"/>
  <c r="R20" i="5" l="1"/>
  <c r="R19" i="5"/>
  <c r="V34" i="16"/>
  <c r="V12" i="16" s="1"/>
  <c r="V16" i="16"/>
  <c r="M41" i="16"/>
  <c r="M24" i="16"/>
  <c r="N10" i="16"/>
  <c r="N9" i="16"/>
  <c r="M27" i="16"/>
  <c r="M28" i="16" s="1"/>
  <c r="W14" i="6"/>
  <c r="L71" i="16"/>
  <c r="L72" i="16" s="1"/>
  <c r="S23" i="6"/>
  <c r="S15" i="6"/>
  <c r="S41" i="6" s="1"/>
  <c r="S50" i="6" s="1"/>
  <c r="S52" i="6"/>
  <c r="W33" i="16"/>
  <c r="S26" i="6" l="1"/>
  <c r="S54" i="5" s="1"/>
  <c r="S65" i="5"/>
  <c r="L53" i="16"/>
  <c r="L54" i="16" s="1"/>
  <c r="L52" i="16"/>
  <c r="L79" i="16" s="1"/>
  <c r="L81" i="16" s="1"/>
  <c r="L56" i="16"/>
  <c r="L55" i="16"/>
  <c r="N18" i="16"/>
  <c r="N20" i="16" s="1"/>
  <c r="N26" i="16" s="1"/>
  <c r="W34" i="16"/>
  <c r="W12" i="16" s="1"/>
  <c r="W16" i="16"/>
  <c r="X14" i="6"/>
  <c r="M25" i="16"/>
  <c r="M51" i="16" s="1"/>
  <c r="M40" i="16"/>
  <c r="M60" i="16" s="1"/>
  <c r="M59" i="16" s="1"/>
  <c r="X33" i="16"/>
  <c r="R41" i="5" l="1"/>
  <c r="R42" i="5" s="1"/>
  <c r="R48" i="5" s="1"/>
  <c r="R33" i="5"/>
  <c r="R35" i="5" s="1"/>
  <c r="R37" i="5" s="1"/>
  <c r="R32" i="5"/>
  <c r="R17" i="5"/>
  <c r="T23" i="6"/>
  <c r="N22" i="16"/>
  <c r="N24" i="16" s="1"/>
  <c r="M61" i="16"/>
  <c r="M66" i="16" s="1"/>
  <c r="M64" i="16" s="1"/>
  <c r="M65" i="16" s="1"/>
  <c r="X34" i="16"/>
  <c r="X12" i="16" s="1"/>
  <c r="X16" i="16"/>
  <c r="M42" i="16"/>
  <c r="S24" i="6" s="1"/>
  <c r="Y14" i="6"/>
  <c r="O10" i="16"/>
  <c r="N27" i="16"/>
  <c r="N28" i="16" s="1"/>
  <c r="O9" i="16"/>
  <c r="Y33" i="16"/>
  <c r="Y16" i="16" s="1"/>
  <c r="R38" i="5" l="1"/>
  <c r="T26" i="6"/>
  <c r="T54" i="5" s="1"/>
  <c r="T65" i="5"/>
  <c r="T15" i="6"/>
  <c r="T41" i="6" s="1"/>
  <c r="T50" i="6" s="1"/>
  <c r="N41" i="16"/>
  <c r="T52" i="6"/>
  <c r="S19" i="5"/>
  <c r="S20" i="5"/>
  <c r="O18" i="16"/>
  <c r="O20" i="16" s="1"/>
  <c r="O22" i="16" s="1"/>
  <c r="O24" i="16" s="1"/>
  <c r="N40" i="16"/>
  <c r="N60" i="16" s="1"/>
  <c r="N59" i="16" s="1"/>
  <c r="N25" i="16"/>
  <c r="N51" i="16" s="1"/>
  <c r="Z14" i="6"/>
  <c r="M71" i="16"/>
  <c r="M72" i="16" s="1"/>
  <c r="Z33" i="16"/>
  <c r="Y34" i="16"/>
  <c r="Y12" i="16" s="1"/>
  <c r="M53" i="16" l="1"/>
  <c r="M54" i="16" s="1"/>
  <c r="M52" i="16"/>
  <c r="M79" i="16" s="1"/>
  <c r="M81" i="16" s="1"/>
  <c r="M56" i="16"/>
  <c r="N46" i="16"/>
  <c r="M55" i="16"/>
  <c r="O26" i="16"/>
  <c r="O27" i="16" s="1"/>
  <c r="O28" i="16" s="1"/>
  <c r="O41" i="16"/>
  <c r="U52" i="6"/>
  <c r="Z34" i="16"/>
  <c r="Z12" i="16" s="1"/>
  <c r="Z16" i="16"/>
  <c r="AA14" i="6"/>
  <c r="N42" i="16"/>
  <c r="T24" i="6" s="1"/>
  <c r="AA33" i="16"/>
  <c r="O25" i="16"/>
  <c r="O51" i="16" s="1"/>
  <c r="O40" i="16"/>
  <c r="O60" i="16" s="1"/>
  <c r="O59" i="16" s="1"/>
  <c r="S41" i="5" l="1"/>
  <c r="S42" i="5" s="1"/>
  <c r="S48" i="5" s="1"/>
  <c r="S33" i="5"/>
  <c r="S35" i="5" s="1"/>
  <c r="S37" i="5" s="1"/>
  <c r="S32" i="5"/>
  <c r="S17" i="5"/>
  <c r="P10" i="16"/>
  <c r="R18" i="18"/>
  <c r="R20" i="18" s="1"/>
  <c r="O46" i="16"/>
  <c r="P9" i="16"/>
  <c r="N61" i="16"/>
  <c r="N66" i="16" s="1"/>
  <c r="N64" i="16" s="1"/>
  <c r="N65" i="16" s="1"/>
  <c r="U15" i="6"/>
  <c r="U41" i="6" s="1"/>
  <c r="U50" i="6" s="1"/>
  <c r="U23" i="6"/>
  <c r="AA34" i="16"/>
  <c r="AA12" i="16" s="1"/>
  <c r="AA16" i="16"/>
  <c r="N71" i="16"/>
  <c r="N72" i="16" s="1"/>
  <c r="AB14" i="6"/>
  <c r="AB33" i="16"/>
  <c r="AB16" i="16" s="1"/>
  <c r="O42" i="16"/>
  <c r="U24" i="6" s="1"/>
  <c r="U26" i="6" l="1"/>
  <c r="U54" i="5" s="1"/>
  <c r="U65" i="5"/>
  <c r="S38" i="5"/>
  <c r="N53" i="16"/>
  <c r="N54" i="16" s="1"/>
  <c r="N52" i="16"/>
  <c r="N79" i="16" s="1"/>
  <c r="N81" i="16" s="1"/>
  <c r="P18" i="16"/>
  <c r="P20" i="16" s="1"/>
  <c r="P26" i="16" s="1"/>
  <c r="Q10" i="16" s="1"/>
  <c r="S18" i="18"/>
  <c r="S20" i="18" s="1"/>
  <c r="T19" i="5"/>
  <c r="T20" i="5"/>
  <c r="V52" i="6"/>
  <c r="P22" i="16"/>
  <c r="P41" i="16" s="1"/>
  <c r="O61" i="16"/>
  <c r="O66" i="16" s="1"/>
  <c r="O64" i="16" s="1"/>
  <c r="O65" i="16" s="1"/>
  <c r="AC14" i="6"/>
  <c r="AB34" i="16"/>
  <c r="AB12" i="16" s="1"/>
  <c r="AC33" i="16"/>
  <c r="AC16" i="16" s="1"/>
  <c r="O71" i="16"/>
  <c r="O72" i="16" s="1"/>
  <c r="O53" i="16" l="1"/>
  <c r="O54" i="16" s="1"/>
  <c r="O52" i="16"/>
  <c r="O79" i="16" s="1"/>
  <c r="O81" i="16" s="1"/>
  <c r="N56" i="16"/>
  <c r="U19" i="5"/>
  <c r="P24" i="16"/>
  <c r="U20" i="5"/>
  <c r="V15" i="6"/>
  <c r="V41" i="6" s="1"/>
  <c r="V50" i="6" s="1"/>
  <c r="V23" i="6"/>
  <c r="O56" i="16"/>
  <c r="N55" i="16"/>
  <c r="T41" i="5" s="1"/>
  <c r="T42" i="5" s="1"/>
  <c r="T48" i="5" s="1"/>
  <c r="P27" i="16"/>
  <c r="P28" i="16" s="1"/>
  <c r="Q9" i="16"/>
  <c r="Q18" i="16" s="1"/>
  <c r="Q20" i="16" s="1"/>
  <c r="Q26" i="16" s="1"/>
  <c r="R10" i="16" s="1"/>
  <c r="AD14" i="6"/>
  <c r="T29" i="6"/>
  <c r="AC34" i="16"/>
  <c r="AC12" i="16" s="1"/>
  <c r="AD33" i="16"/>
  <c r="U29" i="6"/>
  <c r="T33" i="5" l="1"/>
  <c r="T35" i="5" s="1"/>
  <c r="T37" i="5" s="1"/>
  <c r="T32" i="5"/>
  <c r="V26" i="6"/>
  <c r="V54" i="5" s="1"/>
  <c r="V65" i="5"/>
  <c r="U33" i="5"/>
  <c r="U35" i="5" s="1"/>
  <c r="U37" i="5" s="1"/>
  <c r="U32" i="5"/>
  <c r="Q27" i="16"/>
  <c r="Q28" i="16" s="1"/>
  <c r="Q22" i="16"/>
  <c r="Q24" i="16" s="1"/>
  <c r="U17" i="5"/>
  <c r="P25" i="16"/>
  <c r="P51" i="16" s="1"/>
  <c r="T17" i="5"/>
  <c r="P40" i="16"/>
  <c r="R9" i="16"/>
  <c r="R18" i="16" s="1"/>
  <c r="R20" i="16" s="1"/>
  <c r="O55" i="16"/>
  <c r="U41" i="5" s="1"/>
  <c r="U42" i="5" s="1"/>
  <c r="U48" i="5" s="1"/>
  <c r="AD34" i="16"/>
  <c r="AD12" i="16" s="1"/>
  <c r="AD16" i="16"/>
  <c r="AE14" i="6"/>
  <c r="P71" i="16"/>
  <c r="P72" i="16" s="1"/>
  <c r="AE33" i="16"/>
  <c r="AE16" i="16" s="1"/>
  <c r="Q25" i="16"/>
  <c r="Q51" i="16" s="1"/>
  <c r="Q40" i="16"/>
  <c r="U38" i="5" l="1"/>
  <c r="T38" i="5"/>
  <c r="P53" i="16"/>
  <c r="P54" i="16" s="1"/>
  <c r="P52" i="16"/>
  <c r="P79" i="16" s="1"/>
  <c r="P81" i="16" s="1"/>
  <c r="Q41" i="16"/>
  <c r="P60" i="16"/>
  <c r="P59" i="16" s="1"/>
  <c r="P42" i="16"/>
  <c r="V24" i="6" s="1"/>
  <c r="Q60" i="16"/>
  <c r="Q59" i="16" s="1"/>
  <c r="W15" i="6"/>
  <c r="W41" i="6" s="1"/>
  <c r="W50" i="6" s="1"/>
  <c r="W52" i="6"/>
  <c r="W23" i="6"/>
  <c r="AF14" i="6"/>
  <c r="T15" i="5"/>
  <c r="AF33" i="16"/>
  <c r="AE34" i="16"/>
  <c r="AE12" i="16" s="1"/>
  <c r="R26" i="16"/>
  <c r="R22" i="16"/>
  <c r="Q42" i="16"/>
  <c r="W24" i="6" s="1"/>
  <c r="U15" i="5"/>
  <c r="W26" i="6" l="1"/>
  <c r="W54" i="5" s="1"/>
  <c r="W65" i="5"/>
  <c r="P46" i="16"/>
  <c r="Q46" i="16"/>
  <c r="AF34" i="16"/>
  <c r="AF12" i="16" s="1"/>
  <c r="AF16" i="16"/>
  <c r="U75" i="8"/>
  <c r="N83" i="16"/>
  <c r="R11" i="18"/>
  <c r="R13" i="18" s="1"/>
  <c r="R15" i="18" s="1"/>
  <c r="U74" i="8" s="1"/>
  <c r="AG14" i="6"/>
  <c r="AG33" i="16"/>
  <c r="Q71" i="16"/>
  <c r="Q72" i="16" s="1"/>
  <c r="S11" i="18"/>
  <c r="S13" i="18" s="1"/>
  <c r="S15" i="18" s="1"/>
  <c r="V74" i="8" s="1"/>
  <c r="O83" i="16"/>
  <c r="R41" i="16"/>
  <c r="R24" i="16"/>
  <c r="V75" i="8"/>
  <c r="R27" i="16"/>
  <c r="R28" i="16" s="1"/>
  <c r="S9" i="16"/>
  <c r="S10" i="16"/>
  <c r="X15" i="6"/>
  <c r="X41" i="6" s="1"/>
  <c r="X50" i="6" s="1"/>
  <c r="X52" i="6"/>
  <c r="X23" i="6"/>
  <c r="X65" i="5" s="1"/>
  <c r="Q53" i="16" l="1"/>
  <c r="Q54" i="16" s="1"/>
  <c r="Q52" i="16"/>
  <c r="Q79" i="16" s="1"/>
  <c r="Q81" i="16" s="1"/>
  <c r="T70" i="6"/>
  <c r="T137" i="6" s="1"/>
  <c r="T22" i="5"/>
  <c r="U70" i="6"/>
  <c r="U137" i="6" s="1"/>
  <c r="U22" i="5"/>
  <c r="U18" i="18"/>
  <c r="U20" i="18" s="1"/>
  <c r="T18" i="18"/>
  <c r="T20" i="18" s="1"/>
  <c r="V29" i="6"/>
  <c r="P61" i="16"/>
  <c r="P66" i="16" s="1"/>
  <c r="P64" i="16" s="1"/>
  <c r="P65" i="16" s="1"/>
  <c r="Q61" i="16"/>
  <c r="Q66" i="16" s="1"/>
  <c r="Q64" i="16" s="1"/>
  <c r="Q65" i="16" s="1"/>
  <c r="AG34" i="16"/>
  <c r="AG12" i="16" s="1"/>
  <c r="AG16" i="16"/>
  <c r="AH14" i="6"/>
  <c r="AH33" i="16"/>
  <c r="AH16" i="16" s="1"/>
  <c r="S18" i="16"/>
  <c r="S20" i="16" s="1"/>
  <c r="R40" i="16"/>
  <c r="R60" i="16" s="1"/>
  <c r="R59" i="16" s="1"/>
  <c r="R25" i="16"/>
  <c r="R51" i="16" s="1"/>
  <c r="W29" i="6"/>
  <c r="X26" i="6"/>
  <c r="X54" i="5" s="1"/>
  <c r="V15" i="5"/>
  <c r="V19" i="5" l="1"/>
  <c r="W19" i="5" s="1"/>
  <c r="V20" i="5"/>
  <c r="W20" i="5" s="1"/>
  <c r="R46" i="16"/>
  <c r="Q56" i="16"/>
  <c r="AH34" i="16"/>
  <c r="AH12" i="16" s="1"/>
  <c r="AI33" i="16"/>
  <c r="P83" i="16"/>
  <c r="T11" i="18"/>
  <c r="T13" i="18" s="1"/>
  <c r="T15" i="18" s="1"/>
  <c r="W74" i="8" s="1"/>
  <c r="S26" i="16"/>
  <c r="S22" i="16"/>
  <c r="W75" i="8"/>
  <c r="R42" i="16"/>
  <c r="X24" i="6" s="1"/>
  <c r="W33" i="5" l="1"/>
  <c r="W35" i="5" s="1"/>
  <c r="W37" i="5" s="1"/>
  <c r="W32" i="5"/>
  <c r="V70" i="6"/>
  <c r="V137" i="6" s="1"/>
  <c r="V22" i="5"/>
  <c r="W17" i="5"/>
  <c r="V18" i="18"/>
  <c r="V20" i="18" s="1"/>
  <c r="R61" i="16"/>
  <c r="R66" i="16" s="1"/>
  <c r="R64" i="16" s="1"/>
  <c r="R65" i="16" s="1"/>
  <c r="P56" i="16"/>
  <c r="Q55" i="16"/>
  <c r="W41" i="5" s="1"/>
  <c r="W42" i="5" s="1"/>
  <c r="W48" i="5" s="1"/>
  <c r="AI34" i="16"/>
  <c r="AI12" i="16" s="1"/>
  <c r="AI16" i="16"/>
  <c r="R71" i="16"/>
  <c r="R72" i="16" s="1"/>
  <c r="AJ33" i="16"/>
  <c r="AJ16" i="16" s="1"/>
  <c r="W15" i="5"/>
  <c r="S24" i="16"/>
  <c r="S41" i="16"/>
  <c r="Y15" i="6"/>
  <c r="Y41" i="6" s="1"/>
  <c r="Y50" i="6" s="1"/>
  <c r="Y23" i="6"/>
  <c r="Y65" i="5" s="1"/>
  <c r="Y52" i="6"/>
  <c r="S27" i="16"/>
  <c r="S28" i="16" s="1"/>
  <c r="T9" i="16"/>
  <c r="T10" i="16"/>
  <c r="V33" i="5" l="1"/>
  <c r="V35" i="5" s="1"/>
  <c r="V37" i="5" s="1"/>
  <c r="V32" i="5"/>
  <c r="W38" i="5"/>
  <c r="W44" i="5" s="1"/>
  <c r="W53" i="5" s="1"/>
  <c r="W56" i="5" s="1"/>
  <c r="R53" i="16"/>
  <c r="R54" i="16" s="1"/>
  <c r="R52" i="16"/>
  <c r="R79" i="16" s="1"/>
  <c r="R81" i="16" s="1"/>
  <c r="R56" i="16"/>
  <c r="V17" i="5"/>
  <c r="X19" i="5"/>
  <c r="P55" i="16"/>
  <c r="V41" i="5" s="1"/>
  <c r="V42" i="5" s="1"/>
  <c r="V48" i="5" s="1"/>
  <c r="X20" i="5"/>
  <c r="R55" i="16"/>
  <c r="X41" i="5" s="1"/>
  <c r="X42" i="5" s="1"/>
  <c r="X48" i="5" s="1"/>
  <c r="AJ34" i="16"/>
  <c r="AJ12" i="16" s="1"/>
  <c r="AK33" i="16"/>
  <c r="Q83" i="16"/>
  <c r="U11" i="18"/>
  <c r="U13" i="18" s="1"/>
  <c r="U15" i="18" s="1"/>
  <c r="X74" i="8" s="1"/>
  <c r="T18" i="16"/>
  <c r="T20" i="16" s="1"/>
  <c r="S25" i="16"/>
  <c r="S51" i="16" s="1"/>
  <c r="S40" i="16"/>
  <c r="S60" i="16" s="1"/>
  <c r="S59" i="16" s="1"/>
  <c r="X75" i="8"/>
  <c r="X29" i="6"/>
  <c r="Y26" i="6"/>
  <c r="Y54" i="5" s="1"/>
  <c r="X33" i="5" l="1"/>
  <c r="X35" i="5" s="1"/>
  <c r="X37" i="5" s="1"/>
  <c r="X32" i="5"/>
  <c r="V38" i="5"/>
  <c r="W70" i="6"/>
  <c r="W137" i="6" s="1"/>
  <c r="W22" i="5"/>
  <c r="X17" i="5"/>
  <c r="S46" i="16"/>
  <c r="AK34" i="16"/>
  <c r="AK12" i="16" s="1"/>
  <c r="AK16" i="16"/>
  <c r="AL33" i="16"/>
  <c r="S42" i="16"/>
  <c r="Y24" i="6" s="1"/>
  <c r="T26" i="16"/>
  <c r="T22" i="16"/>
  <c r="X38" i="5" l="1"/>
  <c r="S61" i="16"/>
  <c r="S66" i="16" s="1"/>
  <c r="S64" i="16" s="1"/>
  <c r="S65" i="16" s="1"/>
  <c r="W18" i="18"/>
  <c r="W20" i="18" s="1"/>
  <c r="AL34" i="16"/>
  <c r="AL12" i="16" s="1"/>
  <c r="AL16" i="16"/>
  <c r="S71" i="16"/>
  <c r="S72" i="16" s="1"/>
  <c r="AM33" i="16"/>
  <c r="AM16" i="16" s="1"/>
  <c r="Z15" i="6"/>
  <c r="Z41" i="6" s="1"/>
  <c r="Z50" i="6" s="1"/>
  <c r="Z23" i="6"/>
  <c r="Z65" i="5" s="1"/>
  <c r="Z52" i="6"/>
  <c r="X15" i="5"/>
  <c r="T41" i="16"/>
  <c r="T24" i="16"/>
  <c r="T27" i="16"/>
  <c r="T28" i="16" s="1"/>
  <c r="U9" i="16"/>
  <c r="U10" i="16"/>
  <c r="S53" i="16" l="1"/>
  <c r="S54" i="16" s="1"/>
  <c r="S52" i="16"/>
  <c r="S79" i="16" s="1"/>
  <c r="S81" i="16" s="1"/>
  <c r="S56" i="16"/>
  <c r="Y19" i="5"/>
  <c r="Y20" i="5"/>
  <c r="Y17" i="5"/>
  <c r="S55" i="16"/>
  <c r="Y41" i="5" s="1"/>
  <c r="Y42" i="5" s="1"/>
  <c r="Y48" i="5" s="1"/>
  <c r="AO33" i="16"/>
  <c r="AO16" i="16" s="1"/>
  <c r="AN33" i="16"/>
  <c r="AM34" i="16"/>
  <c r="AM12" i="16" s="1"/>
  <c r="Y29" i="6"/>
  <c r="U18" i="16"/>
  <c r="U20" i="16" s="1"/>
  <c r="T25" i="16"/>
  <c r="T51" i="16" s="1"/>
  <c r="T40" i="16"/>
  <c r="T60" i="16" s="1"/>
  <c r="T59" i="16" s="1"/>
  <c r="Y75" i="8"/>
  <c r="Z26" i="6"/>
  <c r="Z54" i="5" s="1"/>
  <c r="R83" i="16"/>
  <c r="V11" i="18"/>
  <c r="V13" i="18" s="1"/>
  <c r="V15" i="18" s="1"/>
  <c r="Y74" i="8" s="1"/>
  <c r="Y33" i="5" l="1"/>
  <c r="Y35" i="5" s="1"/>
  <c r="Y37" i="5" s="1"/>
  <c r="Y32" i="5"/>
  <c r="X70" i="6"/>
  <c r="X137" i="6" s="1"/>
  <c r="X22" i="5"/>
  <c r="T46" i="16"/>
  <c r="AO34" i="16"/>
  <c r="AO12" i="16" s="1"/>
  <c r="AN16" i="16"/>
  <c r="AN34" i="16"/>
  <c r="AN12" i="16" s="1"/>
  <c r="T42" i="16"/>
  <c r="Z24" i="6" s="1"/>
  <c r="U26" i="16"/>
  <c r="U22" i="16"/>
  <c r="Y38" i="5" l="1"/>
  <c r="X18" i="18"/>
  <c r="X20" i="18" s="1"/>
  <c r="T61" i="16"/>
  <c r="T66" i="16" s="1"/>
  <c r="T64" i="16" s="1"/>
  <c r="T65" i="16" s="1"/>
  <c r="U27" i="16"/>
  <c r="U28" i="16" s="1"/>
  <c r="V9" i="16"/>
  <c r="V10" i="16"/>
  <c r="AA23" i="6"/>
  <c r="AA65" i="5" s="1"/>
  <c r="AA15" i="6"/>
  <c r="AA41" i="6" s="1"/>
  <c r="AA50" i="6" s="1"/>
  <c r="AA52" i="6"/>
  <c r="Y15" i="5"/>
  <c r="U41" i="16"/>
  <c r="U24" i="16"/>
  <c r="T71" i="16"/>
  <c r="T72" i="16" s="1"/>
  <c r="T53" i="16" l="1"/>
  <c r="T54" i="16" s="1"/>
  <c r="T52" i="16"/>
  <c r="T79" i="16" s="1"/>
  <c r="T81" i="16" s="1"/>
  <c r="Z19" i="5"/>
  <c r="Z20" i="5"/>
  <c r="V18" i="16"/>
  <c r="V20" i="16" s="1"/>
  <c r="V22" i="16" s="1"/>
  <c r="Z29" i="6"/>
  <c r="AA26" i="6"/>
  <c r="AA54" i="5" s="1"/>
  <c r="U25" i="16"/>
  <c r="U51" i="16" s="1"/>
  <c r="U40" i="16"/>
  <c r="U60" i="16" s="1"/>
  <c r="U59" i="16" s="1"/>
  <c r="W11" i="18"/>
  <c r="W13" i="18" s="1"/>
  <c r="W15" i="18" s="1"/>
  <c r="Z74" i="8" s="1"/>
  <c r="S83" i="16"/>
  <c r="Z75" i="8"/>
  <c r="Y70" i="6" l="1"/>
  <c r="Y137" i="6" s="1"/>
  <c r="Y22" i="5"/>
  <c r="T56" i="16"/>
  <c r="V26" i="16"/>
  <c r="W9" i="16" s="1"/>
  <c r="Z17" i="5"/>
  <c r="AB15" i="6"/>
  <c r="AB41" i="6" s="1"/>
  <c r="AB50" i="6" s="1"/>
  <c r="T55" i="16"/>
  <c r="Z41" i="5" s="1"/>
  <c r="Z42" i="5" s="1"/>
  <c r="Z48" i="5" s="1"/>
  <c r="U46" i="16"/>
  <c r="U42" i="16"/>
  <c r="AA24" i="6" s="1"/>
  <c r="V41" i="16"/>
  <c r="V24" i="16"/>
  <c r="Z33" i="5" l="1"/>
  <c r="Z35" i="5" s="1"/>
  <c r="Z37" i="5" s="1"/>
  <c r="Z32" i="5"/>
  <c r="V27" i="16"/>
  <c r="V28" i="16" s="1"/>
  <c r="W10" i="16"/>
  <c r="W18" i="16" s="1"/>
  <c r="W20" i="16" s="1"/>
  <c r="U61" i="16"/>
  <c r="AB23" i="6"/>
  <c r="Y18" i="18"/>
  <c r="Y20" i="18" s="1"/>
  <c r="AB52" i="6"/>
  <c r="Z15" i="5"/>
  <c r="V25" i="16"/>
  <c r="V51" i="16" s="1"/>
  <c r="V40" i="16"/>
  <c r="U71" i="16"/>
  <c r="U72" i="16" s="1"/>
  <c r="AB26" i="6" l="1"/>
  <c r="AB54" i="5" s="1"/>
  <c r="AB65" i="5"/>
  <c r="Z38" i="5"/>
  <c r="U66" i="16"/>
  <c r="U64" i="16" s="1"/>
  <c r="U65" i="16" s="1"/>
  <c r="U56" i="16" s="1"/>
  <c r="U53" i="16"/>
  <c r="U54" i="16" s="1"/>
  <c r="U52" i="16"/>
  <c r="U79" i="16" s="1"/>
  <c r="U81" i="16" s="1"/>
  <c r="AA19" i="5"/>
  <c r="AA17" i="5"/>
  <c r="AA20" i="5"/>
  <c r="V60" i="16"/>
  <c r="V59" i="16" s="1"/>
  <c r="W26" i="16"/>
  <c r="X9" i="16" s="1"/>
  <c r="W22" i="16"/>
  <c r="W41" i="16" s="1"/>
  <c r="V42" i="16"/>
  <c r="AB24" i="6" s="1"/>
  <c r="AA29" i="6"/>
  <c r="AC23" i="6"/>
  <c r="AC65" i="5" s="1"/>
  <c r="AC15" i="6"/>
  <c r="AC41" i="6" s="1"/>
  <c r="AC50" i="6" s="1"/>
  <c r="AC52" i="6"/>
  <c r="AA75" i="8"/>
  <c r="T83" i="16"/>
  <c r="X11" i="18"/>
  <c r="X13" i="18" s="1"/>
  <c r="X15" i="18" s="1"/>
  <c r="AA74" i="8" s="1"/>
  <c r="U55" i="16" l="1"/>
  <c r="AA41" i="5" s="1"/>
  <c r="AA42" i="5" s="1"/>
  <c r="AA48" i="5" s="1"/>
  <c r="AA33" i="5"/>
  <c r="AA35" i="5" s="1"/>
  <c r="AA37" i="5" s="1"/>
  <c r="AA32" i="5"/>
  <c r="Z70" i="6"/>
  <c r="Z137" i="6" s="1"/>
  <c r="Z22" i="5"/>
  <c r="X10" i="16"/>
  <c r="X18" i="16" s="1"/>
  <c r="X20" i="16" s="1"/>
  <c r="X26" i="16" s="1"/>
  <c r="W27" i="16"/>
  <c r="W28" i="16" s="1"/>
  <c r="V46" i="16"/>
  <c r="W24" i="16"/>
  <c r="V71" i="16"/>
  <c r="V72" i="16" s="1"/>
  <c r="AC26" i="6"/>
  <c r="AC54" i="5" s="1"/>
  <c r="AA38" i="5" l="1"/>
  <c r="V53" i="16"/>
  <c r="V54" i="16" s="1"/>
  <c r="V52" i="16"/>
  <c r="V79" i="16" s="1"/>
  <c r="V81" i="16" s="1"/>
  <c r="W40" i="16"/>
  <c r="W60" i="16" s="1"/>
  <c r="W25" i="16"/>
  <c r="W51" i="16" s="1"/>
  <c r="Z18" i="18"/>
  <c r="Z20" i="18" s="1"/>
  <c r="AD23" i="6"/>
  <c r="AD65" i="5" s="1"/>
  <c r="V61" i="16"/>
  <c r="V66" i="16" s="1"/>
  <c r="V64" i="16" s="1"/>
  <c r="V65" i="16" s="1"/>
  <c r="X22" i="16"/>
  <c r="X41" i="16" s="1"/>
  <c r="AA15" i="5"/>
  <c r="X27" i="16"/>
  <c r="X28" i="16" s="1"/>
  <c r="Y9" i="16"/>
  <c r="Y10" i="16"/>
  <c r="AB29" i="6"/>
  <c r="W59" i="16" l="1"/>
  <c r="W46" i="16" s="1"/>
  <c r="AA18" i="18" s="1"/>
  <c r="AA20" i="18" s="1"/>
  <c r="W42" i="16"/>
  <c r="AC24" i="6" s="1"/>
  <c r="X24" i="16"/>
  <c r="V56" i="16"/>
  <c r="AB19" i="5"/>
  <c r="AB20" i="5"/>
  <c r="AD52" i="6"/>
  <c r="AD15" i="6"/>
  <c r="AD41" i="6" s="1"/>
  <c r="AD50" i="6" s="1"/>
  <c r="W61" i="16"/>
  <c r="U83" i="16"/>
  <c r="Y11" i="18"/>
  <c r="Y13" i="18" s="1"/>
  <c r="Y15" i="18" s="1"/>
  <c r="AB74" i="8" s="1"/>
  <c r="AD26" i="6"/>
  <c r="AD54" i="5" s="1"/>
  <c r="Y18" i="16"/>
  <c r="Y20" i="16" s="1"/>
  <c r="W71" i="16"/>
  <c r="W72" i="16" s="1"/>
  <c r="AB75" i="8"/>
  <c r="AB33" i="5" l="1"/>
  <c r="AB35" i="5" s="1"/>
  <c r="AB37" i="5" s="1"/>
  <c r="AB32" i="5"/>
  <c r="W66" i="16"/>
  <c r="W64" i="16" s="1"/>
  <c r="W65" i="16" s="1"/>
  <c r="W56" i="16" s="1"/>
  <c r="W53" i="16"/>
  <c r="W54" i="16" s="1"/>
  <c r="W52" i="16"/>
  <c r="W79" i="16" s="1"/>
  <c r="W81" i="16" s="1"/>
  <c r="X40" i="16"/>
  <c r="X25" i="16"/>
  <c r="X51" i="16" s="1"/>
  <c r="AA70" i="6"/>
  <c r="AA137" i="6" s="1"/>
  <c r="AA22" i="5"/>
  <c r="V55" i="16"/>
  <c r="AB41" i="5" s="1"/>
  <c r="AB42" i="5" s="1"/>
  <c r="AB48" i="5" s="1"/>
  <c r="AC17" i="5"/>
  <c r="AC19" i="5"/>
  <c r="AC20" i="5"/>
  <c r="X60" i="16"/>
  <c r="X59" i="16" s="1"/>
  <c r="X42" i="16"/>
  <c r="AD24" i="6" s="1"/>
  <c r="AB15" i="5"/>
  <c r="Y26" i="16"/>
  <c r="Y22" i="16"/>
  <c r="AC29" i="6"/>
  <c r="AC33" i="5" l="1"/>
  <c r="AC35" i="5" s="1"/>
  <c r="AC37" i="5" s="1"/>
  <c r="AC32" i="5"/>
  <c r="AB38" i="5"/>
  <c r="AB44" i="5" s="1"/>
  <c r="AB53" i="5" s="1"/>
  <c r="AB56" i="5" s="1"/>
  <c r="W55" i="16"/>
  <c r="AC41" i="5" s="1"/>
  <c r="AC42" i="5" s="1"/>
  <c r="AC48" i="5" s="1"/>
  <c r="AB17" i="5"/>
  <c r="X46" i="16"/>
  <c r="AE15" i="6"/>
  <c r="AE41" i="6" s="1"/>
  <c r="AE50" i="6" s="1"/>
  <c r="AE52" i="6"/>
  <c r="AE23" i="6"/>
  <c r="AE65" i="5" s="1"/>
  <c r="Y41" i="16"/>
  <c r="Y24" i="16"/>
  <c r="Y27" i="16"/>
  <c r="Y28" i="16" s="1"/>
  <c r="Z9" i="16"/>
  <c r="Z10" i="16"/>
  <c r="AC75" i="8"/>
  <c r="V83" i="16"/>
  <c r="Z11" i="18"/>
  <c r="Z13" i="18" s="1"/>
  <c r="Z15" i="18" s="1"/>
  <c r="AC74" i="8" s="1"/>
  <c r="X71" i="16"/>
  <c r="X72" i="16" s="1"/>
  <c r="AC38" i="5" l="1"/>
  <c r="AC44" i="5" s="1"/>
  <c r="AC53" i="5" s="1"/>
  <c r="AC56" i="5" s="1"/>
  <c r="X53" i="16"/>
  <c r="X54" i="16" s="1"/>
  <c r="X52" i="16"/>
  <c r="X79" i="16" s="1"/>
  <c r="X81" i="16" s="1"/>
  <c r="AB70" i="6"/>
  <c r="AB137" i="6" s="1"/>
  <c r="AB22" i="5"/>
  <c r="AB18" i="18"/>
  <c r="AB20" i="18" s="1"/>
  <c r="X61" i="16"/>
  <c r="X66" i="16" s="1"/>
  <c r="X64" i="16" s="1"/>
  <c r="X65" i="16" s="1"/>
  <c r="Z18" i="16"/>
  <c r="Z20" i="16" s="1"/>
  <c r="Z26" i="16" s="1"/>
  <c r="AE26" i="6"/>
  <c r="AE54" i="5" s="1"/>
  <c r="AC15" i="5"/>
  <c r="Y25" i="16"/>
  <c r="Y51" i="16" s="1"/>
  <c r="Y40" i="16"/>
  <c r="Y60" i="16" s="1"/>
  <c r="Y59" i="16" s="1"/>
  <c r="AD29" i="6"/>
  <c r="AD20" i="5" l="1"/>
  <c r="AD19" i="5"/>
  <c r="Y46" i="16"/>
  <c r="AF15" i="6"/>
  <c r="AF41" i="6" s="1"/>
  <c r="AF50" i="6" s="1"/>
  <c r="Z22" i="16"/>
  <c r="Z24" i="16" s="1"/>
  <c r="AD75" i="8"/>
  <c r="Y42" i="16"/>
  <c r="AE24" i="6" s="1"/>
  <c r="W83" i="16"/>
  <c r="AA11" i="18"/>
  <c r="AA13" i="18" s="1"/>
  <c r="AA15" i="18" s="1"/>
  <c r="AD74" i="8" s="1"/>
  <c r="Z27" i="16"/>
  <c r="Z28" i="16" s="1"/>
  <c r="AA9" i="16"/>
  <c r="AA10" i="16"/>
  <c r="AC70" i="6" l="1"/>
  <c r="AC137" i="6" s="1"/>
  <c r="AC22" i="5"/>
  <c r="AC18" i="18"/>
  <c r="AC20" i="18" s="1"/>
  <c r="X56" i="16"/>
  <c r="AF52" i="6"/>
  <c r="Y61" i="16"/>
  <c r="Y66" i="16" s="1"/>
  <c r="Y64" i="16" s="1"/>
  <c r="Y65" i="16" s="1"/>
  <c r="Z41" i="16"/>
  <c r="AF23" i="6"/>
  <c r="Y71" i="16"/>
  <c r="Y72" i="16" s="1"/>
  <c r="AA18" i="16"/>
  <c r="AA20" i="16" s="1"/>
  <c r="AD15" i="5"/>
  <c r="Z25" i="16"/>
  <c r="Z51" i="16" s="1"/>
  <c r="Z40" i="16"/>
  <c r="AF26" i="6" l="1"/>
  <c r="AF54" i="5" s="1"/>
  <c r="AF65" i="5"/>
  <c r="AD33" i="5"/>
  <c r="AD35" i="5" s="1"/>
  <c r="AD37" i="5" s="1"/>
  <c r="AD32" i="5"/>
  <c r="Y53" i="16"/>
  <c r="Y54" i="16" s="1"/>
  <c r="Y52" i="16"/>
  <c r="Y79" i="16" s="1"/>
  <c r="Y81" i="16" s="1"/>
  <c r="Y56" i="16"/>
  <c r="X55" i="16"/>
  <c r="AD41" i="5" s="1"/>
  <c r="AD42" i="5" s="1"/>
  <c r="AD48" i="5" s="1"/>
  <c r="AD17" i="5"/>
  <c r="AE19" i="5"/>
  <c r="AE20" i="5"/>
  <c r="AA26" i="16"/>
  <c r="AA27" i="16" s="1"/>
  <c r="AA28" i="16" s="1"/>
  <c r="Y55" i="16"/>
  <c r="Z60" i="16"/>
  <c r="Z59" i="16" s="1"/>
  <c r="AA22" i="16"/>
  <c r="AA24" i="16" s="1"/>
  <c r="X83" i="16"/>
  <c r="AB11" i="18"/>
  <c r="AB13" i="18" s="1"/>
  <c r="AB15" i="18" s="1"/>
  <c r="AE74" i="8" s="1"/>
  <c r="Z42" i="16"/>
  <c r="AF24" i="6" s="1"/>
  <c r="AE29" i="6"/>
  <c r="AG15" i="6"/>
  <c r="AG41" i="6" s="1"/>
  <c r="AG50" i="6" s="1"/>
  <c r="AG23" i="6"/>
  <c r="AG65" i="5" s="1"/>
  <c r="AG52" i="6"/>
  <c r="AE75" i="8"/>
  <c r="AD38" i="5" l="1"/>
  <c r="AD44" i="5" s="1"/>
  <c r="AD53" i="5" s="1"/>
  <c r="AD56" i="5" s="1"/>
  <c r="AE41" i="5"/>
  <c r="AE42" i="5" s="1"/>
  <c r="AE48" i="5" s="1"/>
  <c r="AE33" i="5"/>
  <c r="AE35" i="5" s="1"/>
  <c r="AE37" i="5" s="1"/>
  <c r="AE32" i="5"/>
  <c r="AD70" i="6"/>
  <c r="AD137" i="6" s="1"/>
  <c r="AD22" i="5"/>
  <c r="AB10" i="16"/>
  <c r="AB9" i="16"/>
  <c r="AE17" i="5"/>
  <c r="Z46" i="16"/>
  <c r="AA41" i="16"/>
  <c r="AA25" i="16"/>
  <c r="AA51" i="16" s="1"/>
  <c r="AA40" i="16"/>
  <c r="AG26" i="6"/>
  <c r="AG54" i="5" s="1"/>
  <c r="Z71" i="16"/>
  <c r="Z72" i="16" s="1"/>
  <c r="AE38" i="5" l="1"/>
  <c r="AE44" i="5" s="1"/>
  <c r="AE53" i="5" s="1"/>
  <c r="AE56" i="5" s="1"/>
  <c r="Z53" i="16"/>
  <c r="Z54" i="16" s="1"/>
  <c r="Z52" i="16"/>
  <c r="Z79" i="16" s="1"/>
  <c r="Z81" i="16" s="1"/>
  <c r="AB18" i="16"/>
  <c r="AB20" i="16" s="1"/>
  <c r="AD18" i="18"/>
  <c r="AD20" i="18" s="1"/>
  <c r="Z61" i="16"/>
  <c r="Z66" i="16" s="1"/>
  <c r="Z64" i="16" s="1"/>
  <c r="Z65" i="16" s="1"/>
  <c r="AA60" i="16"/>
  <c r="AA59" i="16" s="1"/>
  <c r="AA42" i="16"/>
  <c r="AG24" i="6" s="1"/>
  <c r="AF29" i="6"/>
  <c r="AE15" i="5"/>
  <c r="AB22" i="16" l="1"/>
  <c r="AB24" i="16" s="1"/>
  <c r="AH23" i="6"/>
  <c r="AH52" i="6"/>
  <c r="AH15" i="6"/>
  <c r="AH41" i="6" s="1"/>
  <c r="AH50" i="6" s="1"/>
  <c r="AB26" i="16"/>
  <c r="AF20" i="5"/>
  <c r="AF19" i="5"/>
  <c r="AA46" i="16"/>
  <c r="AH26" i="6"/>
  <c r="AH54" i="5" s="1"/>
  <c r="AF75" i="8"/>
  <c r="Y83" i="16"/>
  <c r="AC11" i="18"/>
  <c r="AC13" i="18" s="1"/>
  <c r="AC15" i="18" s="1"/>
  <c r="AF74" i="8" s="1"/>
  <c r="AB40" i="16"/>
  <c r="AA71" i="16"/>
  <c r="AA72" i="16" s="1"/>
  <c r="AH65" i="5" l="1"/>
  <c r="AA53" i="16"/>
  <c r="AA54" i="16" s="1"/>
  <c r="AA52" i="16"/>
  <c r="AA79" i="16" s="1"/>
  <c r="AA81" i="16" s="1"/>
  <c r="AB25" i="16"/>
  <c r="AB51" i="16" s="1"/>
  <c r="AB41" i="16"/>
  <c r="AE70" i="6"/>
  <c r="AE137" i="6" s="1"/>
  <c r="AE22" i="5"/>
  <c r="AB27" i="16"/>
  <c r="AB28" i="16" s="1"/>
  <c r="AC9" i="16"/>
  <c r="AC10" i="16"/>
  <c r="Z56" i="16"/>
  <c r="AE18" i="18"/>
  <c r="AE20" i="18" s="1"/>
  <c r="AF17" i="5"/>
  <c r="AA61" i="16"/>
  <c r="AA66" i="16" s="1"/>
  <c r="AA64" i="16" s="1"/>
  <c r="AA65" i="16" s="1"/>
  <c r="AB60" i="16"/>
  <c r="AB59" i="16" s="1"/>
  <c r="AG29" i="6"/>
  <c r="AB42" i="16"/>
  <c r="AH24" i="6" s="1"/>
  <c r="AF15" i="5"/>
  <c r="AF33" i="5" l="1"/>
  <c r="AF35" i="5" s="1"/>
  <c r="AF37" i="5" s="1"/>
  <c r="AF32" i="5"/>
  <c r="I30" i="16"/>
  <c r="AC18" i="16"/>
  <c r="AC20" i="16" s="1"/>
  <c r="Z55" i="16"/>
  <c r="AF41" i="5" s="1"/>
  <c r="AF42" i="5" s="1"/>
  <c r="AF48" i="5" s="1"/>
  <c r="AG20" i="5"/>
  <c r="AG19" i="5"/>
  <c r="AB46" i="16"/>
  <c r="AA56" i="16"/>
  <c r="AG75" i="8"/>
  <c r="AD11" i="18"/>
  <c r="AD13" i="18" s="1"/>
  <c r="AD15" i="18" s="1"/>
  <c r="AG74" i="8" s="1"/>
  <c r="Z83" i="16"/>
  <c r="AB71" i="16"/>
  <c r="AB72" i="16" s="1"/>
  <c r="AG33" i="5" l="1"/>
  <c r="AG35" i="5" s="1"/>
  <c r="AG37" i="5" s="1"/>
  <c r="AG32" i="5"/>
  <c r="AF38" i="5"/>
  <c r="AF44" i="5" s="1"/>
  <c r="AF53" i="5" s="1"/>
  <c r="AF56" i="5" s="1"/>
  <c r="AB53" i="16"/>
  <c r="AB54" i="16" s="1"/>
  <c r="AB52" i="16"/>
  <c r="AB79" i="16" s="1"/>
  <c r="AB81" i="16" s="1"/>
  <c r="AC22" i="16"/>
  <c r="AC26" i="16"/>
  <c r="AF70" i="6"/>
  <c r="AF137" i="6" s="1"/>
  <c r="AF22" i="5"/>
  <c r="AF18" i="18"/>
  <c r="AF20" i="18" s="1"/>
  <c r="AG17" i="5"/>
  <c r="AB61" i="16"/>
  <c r="AB66" i="16" s="1"/>
  <c r="AB64" i="16" s="1"/>
  <c r="AB65" i="16" s="1"/>
  <c r="AA55" i="16"/>
  <c r="AG41" i="5" s="1"/>
  <c r="AG42" i="5" s="1"/>
  <c r="AG48" i="5" s="1"/>
  <c r="AG15" i="5"/>
  <c r="AH29" i="6"/>
  <c r="AG38" i="5" l="1"/>
  <c r="AG44" i="5" s="1"/>
  <c r="AG53" i="5" s="1"/>
  <c r="AG56" i="5" s="1"/>
  <c r="AC27" i="16"/>
  <c r="AC28" i="16" s="1"/>
  <c r="AC41" i="16"/>
  <c r="AC24" i="16"/>
  <c r="AH20" i="5"/>
  <c r="AB56" i="16"/>
  <c r="AH19" i="5"/>
  <c r="AB55" i="16"/>
  <c r="AH41" i="5" s="1"/>
  <c r="AH42" i="5" s="1"/>
  <c r="AH48" i="5" s="1"/>
  <c r="AE11" i="18"/>
  <c r="AE13" i="18" s="1"/>
  <c r="AE15" i="18" s="1"/>
  <c r="AH74" i="8" s="1"/>
  <c r="AA83" i="16"/>
  <c r="AH75" i="8"/>
  <c r="AH33" i="5" l="1"/>
  <c r="AH35" i="5" s="1"/>
  <c r="AH37" i="5" s="1"/>
  <c r="AH32" i="5"/>
  <c r="AD18" i="16"/>
  <c r="AD20" i="16" s="1"/>
  <c r="AC40" i="16"/>
  <c r="AC25" i="16"/>
  <c r="AC51" i="16" s="1"/>
  <c r="AG70" i="6"/>
  <c r="AG137" i="6" s="1"/>
  <c r="AG22" i="5"/>
  <c r="AH17" i="5"/>
  <c r="AC71" i="16"/>
  <c r="AC72" i="16" s="1"/>
  <c r="AH15" i="5"/>
  <c r="AD22" i="16" l="1"/>
  <c r="AJ16" i="6"/>
  <c r="AH38" i="5"/>
  <c r="AH44" i="5" s="1"/>
  <c r="AH53" i="5" s="1"/>
  <c r="AH56" i="5" s="1"/>
  <c r="AC53" i="16"/>
  <c r="AC54" i="16" s="1"/>
  <c r="AC52" i="16"/>
  <c r="AD24" i="16"/>
  <c r="AD25" i="16" s="1"/>
  <c r="AD51" i="16" s="1"/>
  <c r="AD26" i="16"/>
  <c r="AC60" i="16"/>
  <c r="AC59" i="16" s="1"/>
  <c r="AC42" i="16"/>
  <c r="AD40" i="16"/>
  <c r="AD60" i="16" s="1"/>
  <c r="AD59" i="16" s="1"/>
  <c r="AI75" i="8"/>
  <c r="AB83" i="16"/>
  <c r="AF11" i="18"/>
  <c r="AF13" i="18" s="1"/>
  <c r="AF15" i="18" s="1"/>
  <c r="AI74" i="8" s="1"/>
  <c r="AE9" i="16" l="1"/>
  <c r="AE18" i="16" s="1"/>
  <c r="AE20" i="16" s="1"/>
  <c r="AJ52" i="6"/>
  <c r="AJ15" i="6"/>
  <c r="AJ41" i="6" s="1"/>
  <c r="AJ50" i="6" s="1"/>
  <c r="AJ23" i="6"/>
  <c r="AJ26" i="6" s="1"/>
  <c r="AJ54" i="5" s="1"/>
  <c r="AD41" i="16"/>
  <c r="AJ67" i="5"/>
  <c r="AI15" i="5"/>
  <c r="AC79" i="16"/>
  <c r="AC81" i="16" s="1"/>
  <c r="AG11" i="18" s="1"/>
  <c r="AG13" i="18" s="1"/>
  <c r="AG15" i="18" s="1"/>
  <c r="AJ74" i="8" s="1"/>
  <c r="AD27" i="16"/>
  <c r="AD28" i="16" s="1"/>
  <c r="AH70" i="6"/>
  <c r="AH137" i="6" s="1"/>
  <c r="AH22" i="5"/>
  <c r="AC46" i="16"/>
  <c r="AD46" i="16"/>
  <c r="AD42" i="16"/>
  <c r="AJ24" i="6" s="1"/>
  <c r="AJ29" i="6" l="1"/>
  <c r="AH18" i="18"/>
  <c r="AH20" i="18" s="1"/>
  <c r="AK75" i="8" s="1"/>
  <c r="AE22" i="16"/>
  <c r="AK67" i="5" s="1"/>
  <c r="AK16" i="6"/>
  <c r="AG18" i="18"/>
  <c r="AG20" i="18" s="1"/>
  <c r="AJ75" i="8" s="1"/>
  <c r="AI29" i="6"/>
  <c r="AE26" i="16"/>
  <c r="AC61" i="16"/>
  <c r="AD61" i="16"/>
  <c r="AC83" i="16"/>
  <c r="AD71" i="16"/>
  <c r="AD72" i="16" s="1"/>
  <c r="AE24" i="16" l="1"/>
  <c r="AF9" i="16"/>
  <c r="AE41" i="16"/>
  <c r="AK52" i="6"/>
  <c r="AK15" i="6"/>
  <c r="AK41" i="6" s="1"/>
  <c r="AK50" i="6" s="1"/>
  <c r="AK23" i="6"/>
  <c r="AK26" i="6" s="1"/>
  <c r="AK54" i="5" s="1"/>
  <c r="AI22" i="5"/>
  <c r="AI70" i="6"/>
  <c r="AI19" i="5"/>
  <c r="AI20" i="5"/>
  <c r="AE27" i="16"/>
  <c r="AE28" i="16" s="1"/>
  <c r="AD66" i="16"/>
  <c r="AD64" i="16" s="1"/>
  <c r="AD65" i="16" s="1"/>
  <c r="AD56" i="16" s="1"/>
  <c r="AC66" i="16"/>
  <c r="AC64" i="16" s="1"/>
  <c r="AC65" i="16" s="1"/>
  <c r="AC56" i="16" s="1"/>
  <c r="AD53" i="16"/>
  <c r="AD54" i="16" s="1"/>
  <c r="AD52" i="16"/>
  <c r="AD79" i="16" s="1"/>
  <c r="AD81" i="16" s="1"/>
  <c r="AH11" i="18" s="1"/>
  <c r="AH13" i="18" s="1"/>
  <c r="AH15" i="18" s="1"/>
  <c r="AK74" i="8" s="1"/>
  <c r="AK77" i="8" s="1"/>
  <c r="AE25" i="16"/>
  <c r="AE51" i="16" s="1"/>
  <c r="AE40" i="16"/>
  <c r="AE60" i="16" s="1"/>
  <c r="AE59" i="16" s="1"/>
  <c r="AF18" i="16"/>
  <c r="AF20" i="16" s="1"/>
  <c r="AL16" i="6" s="1"/>
  <c r="AJ32" i="5" l="1"/>
  <c r="AJ33" i="5"/>
  <c r="AJ35" i="5" s="1"/>
  <c r="AJ37" i="5" s="1"/>
  <c r="AJ38" i="5" s="1"/>
  <c r="AL15" i="6"/>
  <c r="AL41" i="6" s="1"/>
  <c r="AL50" i="6" s="1"/>
  <c r="AL52" i="6"/>
  <c r="AL23" i="6"/>
  <c r="AL26" i="6" s="1"/>
  <c r="AL54" i="5" s="1"/>
  <c r="AI33" i="5"/>
  <c r="AI35" i="5" s="1"/>
  <c r="AI37" i="5" s="1"/>
  <c r="AI32" i="5"/>
  <c r="AI137" i="6"/>
  <c r="AC55" i="16"/>
  <c r="AI41" i="5" s="1"/>
  <c r="AI42" i="5" s="1"/>
  <c r="AI48" i="5" s="1"/>
  <c r="AD55" i="16"/>
  <c r="AJ41" i="5" s="1"/>
  <c r="AJ42" i="5" s="1"/>
  <c r="AJ48" i="5" s="1"/>
  <c r="AE46" i="16"/>
  <c r="AF26" i="16"/>
  <c r="AG9" i="16" s="1"/>
  <c r="AF22" i="16"/>
  <c r="AL67" i="5" s="1"/>
  <c r="AE42" i="16"/>
  <c r="AK24" i="6" s="1"/>
  <c r="AK29" i="6" l="1"/>
  <c r="AI18" i="18"/>
  <c r="AI20" i="18" s="1"/>
  <c r="AL75" i="8" s="1"/>
  <c r="AJ44" i="5"/>
  <c r="AJ53" i="5" s="1"/>
  <c r="AJ56" i="5" s="1"/>
  <c r="AI38" i="5"/>
  <c r="AI44" i="5" s="1"/>
  <c r="AI53" i="5" s="1"/>
  <c r="AI56" i="5" s="1"/>
  <c r="AE61" i="16"/>
  <c r="AE66" i="16" s="1"/>
  <c r="AE64" i="16" s="1"/>
  <c r="AE65" i="16" s="1"/>
  <c r="AE71" i="16"/>
  <c r="AE72" i="16" s="1"/>
  <c r="AF27" i="16"/>
  <c r="AF28" i="16" s="1"/>
  <c r="AD83" i="16"/>
  <c r="AJ70" i="6" s="1"/>
  <c r="AF41" i="16"/>
  <c r="AF24" i="16"/>
  <c r="AJ137" i="6" l="1"/>
  <c r="AE53" i="16"/>
  <c r="AE54" i="16" s="1"/>
  <c r="AE52" i="16"/>
  <c r="AE79" i="16" s="1"/>
  <c r="AE81" i="16" s="1"/>
  <c r="AI11" i="18" s="1"/>
  <c r="AI13" i="18" s="1"/>
  <c r="AI15" i="18" s="1"/>
  <c r="AL74" i="8" s="1"/>
  <c r="AL77" i="8" s="1"/>
  <c r="AE55" i="16"/>
  <c r="AE56" i="16"/>
  <c r="AF25" i="16"/>
  <c r="AF51" i="16" s="1"/>
  <c r="AF40" i="16"/>
  <c r="AF60" i="16" s="1"/>
  <c r="AF59" i="16" s="1"/>
  <c r="AG18" i="16"/>
  <c r="AG20" i="16" s="1"/>
  <c r="AM16" i="6" s="1"/>
  <c r="AK41" i="5" l="1"/>
  <c r="AK42" i="5" s="1"/>
  <c r="AK48" i="5" s="1"/>
  <c r="AM15" i="6"/>
  <c r="AM41" i="6" s="1"/>
  <c r="AM50" i="6" s="1"/>
  <c r="AM52" i="6"/>
  <c r="AM23" i="6"/>
  <c r="AM26" i="6" s="1"/>
  <c r="AM54" i="5" s="1"/>
  <c r="AK33" i="5"/>
  <c r="AK35" i="5" s="1"/>
  <c r="AK37" i="5" s="1"/>
  <c r="AK32" i="5"/>
  <c r="AF46" i="16"/>
  <c r="AG26" i="16"/>
  <c r="AH9" i="16" s="1"/>
  <c r="AG22" i="16"/>
  <c r="AM67" i="5" s="1"/>
  <c r="AF42" i="16"/>
  <c r="AL24" i="6" s="1"/>
  <c r="AK38" i="5" l="1"/>
  <c r="AK44" i="5" s="1"/>
  <c r="AK53" i="5" s="1"/>
  <c r="AK56" i="5" s="1"/>
  <c r="AL29" i="6"/>
  <c r="AJ18" i="18"/>
  <c r="AJ20" i="18" s="1"/>
  <c r="AM75" i="8" s="1"/>
  <c r="AF61" i="16"/>
  <c r="AF66" i="16" s="1"/>
  <c r="AF64" i="16" s="1"/>
  <c r="AF65" i="16" s="1"/>
  <c r="AE83" i="16"/>
  <c r="AK70" i="6" s="1"/>
  <c r="AF71" i="16"/>
  <c r="AF72" i="16" s="1"/>
  <c r="AG41" i="16"/>
  <c r="AG24" i="16"/>
  <c r="AG27" i="16"/>
  <c r="AG28" i="16" s="1"/>
  <c r="AK137" i="6" l="1"/>
  <c r="AF53" i="16"/>
  <c r="AF54" i="16" s="1"/>
  <c r="AF52" i="16"/>
  <c r="AF79" i="16" s="1"/>
  <c r="AF81" i="16" s="1"/>
  <c r="AJ11" i="18" s="1"/>
  <c r="AJ13" i="18" s="1"/>
  <c r="AJ15" i="18" s="1"/>
  <c r="AM74" i="8" s="1"/>
  <c r="AM77" i="8" s="1"/>
  <c r="AF56" i="16"/>
  <c r="AH18" i="16"/>
  <c r="AH20" i="16" s="1"/>
  <c r="AN16" i="6" s="1"/>
  <c r="AG25" i="16"/>
  <c r="AG51" i="16" s="1"/>
  <c r="AG40" i="16"/>
  <c r="AG60" i="16" s="1"/>
  <c r="AG59" i="16" s="1"/>
  <c r="AN52" i="6" l="1"/>
  <c r="AN15" i="6"/>
  <c r="AN41" i="6" s="1"/>
  <c r="AN50" i="6" s="1"/>
  <c r="AN23" i="6"/>
  <c r="AN26" i="6" s="1"/>
  <c r="AN54" i="5" s="1"/>
  <c r="AL33" i="5"/>
  <c r="AL35" i="5" s="1"/>
  <c r="AL37" i="5" s="1"/>
  <c r="AL38" i="5" s="1"/>
  <c r="AL32" i="5"/>
  <c r="AG46" i="16"/>
  <c r="AF55" i="16"/>
  <c r="AL41" i="5" s="1"/>
  <c r="AL42" i="5" s="1"/>
  <c r="AL48" i="5" s="1"/>
  <c r="AG42" i="16"/>
  <c r="AM24" i="6" s="1"/>
  <c r="AH26" i="16"/>
  <c r="AI9" i="16" s="1"/>
  <c r="AH22" i="16"/>
  <c r="AN67" i="5" s="1"/>
  <c r="AL44" i="5" l="1"/>
  <c r="AL53" i="5" s="1"/>
  <c r="AL56" i="5" s="1"/>
  <c r="AM29" i="6"/>
  <c r="AK18" i="18"/>
  <c r="AK20" i="18" s="1"/>
  <c r="AN75" i="8" s="1"/>
  <c r="AG61" i="16"/>
  <c r="AF83" i="16"/>
  <c r="AL70" i="6" s="1"/>
  <c r="AH27" i="16"/>
  <c r="AH28" i="16" s="1"/>
  <c r="AG71" i="16"/>
  <c r="AG72" i="16" s="1"/>
  <c r="AH41" i="16"/>
  <c r="AH24" i="16"/>
  <c r="AL137" i="6" l="1"/>
  <c r="AG66" i="16"/>
  <c r="AG64" i="16" s="1"/>
  <c r="AG65" i="16" s="1"/>
  <c r="AG56" i="16" s="1"/>
  <c r="AG53" i="16"/>
  <c r="AG54" i="16" s="1"/>
  <c r="AG52" i="16"/>
  <c r="AG79" i="16" s="1"/>
  <c r="AG81" i="16" s="1"/>
  <c r="AK11" i="18" s="1"/>
  <c r="AK13" i="18" s="1"/>
  <c r="AK15" i="18" s="1"/>
  <c r="AN74" i="8" s="1"/>
  <c r="AN77" i="8" s="1"/>
  <c r="AH25" i="16"/>
  <c r="AH51" i="16" s="1"/>
  <c r="AH40" i="16"/>
  <c r="AH60" i="16" s="1"/>
  <c r="AH59" i="16" s="1"/>
  <c r="AI18" i="16"/>
  <c r="AI20" i="16" s="1"/>
  <c r="AO16" i="6" s="1"/>
  <c r="AM32" i="5" l="1"/>
  <c r="AM33" i="5"/>
  <c r="AM35" i="5" s="1"/>
  <c r="AM37" i="5" s="1"/>
  <c r="AM38" i="5" s="1"/>
  <c r="AO15" i="6"/>
  <c r="AO41" i="6" s="1"/>
  <c r="AO50" i="6" s="1"/>
  <c r="AO52" i="6"/>
  <c r="AO23" i="6"/>
  <c r="AO26" i="6" s="1"/>
  <c r="AO54" i="5" s="1"/>
  <c r="AG55" i="16"/>
  <c r="AM41" i="5" s="1"/>
  <c r="AM42" i="5" s="1"/>
  <c r="AM48" i="5" s="1"/>
  <c r="AH46" i="16"/>
  <c r="AH42" i="16"/>
  <c r="AN24" i="6" s="1"/>
  <c r="AI22" i="16"/>
  <c r="AO67" i="5" s="1"/>
  <c r="AI26" i="16"/>
  <c r="AJ9" i="16" s="1"/>
  <c r="AN29" i="6" l="1"/>
  <c r="AL18" i="18"/>
  <c r="AL20" i="18" s="1"/>
  <c r="AO75" i="8" s="1"/>
  <c r="AM44" i="5"/>
  <c r="AM53" i="5" s="1"/>
  <c r="AM56" i="5" s="1"/>
  <c r="AH61" i="16"/>
  <c r="AH66" i="16" s="1"/>
  <c r="AH64" i="16" s="1"/>
  <c r="AH65" i="16" s="1"/>
  <c r="AH71" i="16"/>
  <c r="AH72" i="16" s="1"/>
  <c r="AG83" i="16"/>
  <c r="AM70" i="6" s="1"/>
  <c r="AI41" i="16"/>
  <c r="AI24" i="16"/>
  <c r="AI27" i="16"/>
  <c r="AI28" i="16" s="1"/>
  <c r="AM137" i="6" l="1"/>
  <c r="AH53" i="16"/>
  <c r="AH54" i="16" s="1"/>
  <c r="AH52" i="16"/>
  <c r="AH79" i="16" s="1"/>
  <c r="AH81" i="16" s="1"/>
  <c r="AL11" i="18" s="1"/>
  <c r="AL13" i="18" s="1"/>
  <c r="AL15" i="18" s="1"/>
  <c r="AO74" i="8" s="1"/>
  <c r="AO77" i="8" s="1"/>
  <c r="AH56" i="16"/>
  <c r="AH55" i="16"/>
  <c r="AJ18" i="16"/>
  <c r="AJ20" i="16" s="1"/>
  <c r="AP16" i="6" s="1"/>
  <c r="AI40" i="16"/>
  <c r="AI60" i="16" s="1"/>
  <c r="AI59" i="16" s="1"/>
  <c r="AI25" i="16"/>
  <c r="AI51" i="16" s="1"/>
  <c r="AN41" i="5" l="1"/>
  <c r="AN42" i="5" s="1"/>
  <c r="AN48" i="5" s="1"/>
  <c r="AN32" i="5"/>
  <c r="AN33" i="5"/>
  <c r="AN35" i="5" s="1"/>
  <c r="AN37" i="5" s="1"/>
  <c r="AP15" i="6"/>
  <c r="AP41" i="6" s="1"/>
  <c r="AP50" i="6" s="1"/>
  <c r="AP52" i="6"/>
  <c r="AP23" i="6"/>
  <c r="AP26" i="6" s="1"/>
  <c r="AP54" i="5" s="1"/>
  <c r="AI46" i="16"/>
  <c r="AI61" i="16"/>
  <c r="AI66" i="16" s="1"/>
  <c r="AI64" i="16" s="1"/>
  <c r="AI65" i="16" s="1"/>
  <c r="AI42" i="16"/>
  <c r="AO24" i="6" s="1"/>
  <c r="AJ26" i="16"/>
  <c r="AK9" i="16" s="1"/>
  <c r="AJ22" i="16"/>
  <c r="AP67" i="5" s="1"/>
  <c r="AN38" i="5" l="1"/>
  <c r="AN44" i="5" s="1"/>
  <c r="AN53" i="5" s="1"/>
  <c r="AN56" i="5" s="1"/>
  <c r="AO29" i="6"/>
  <c r="AM18" i="18"/>
  <c r="AM20" i="18" s="1"/>
  <c r="AP75" i="8" s="1"/>
  <c r="AI56" i="16"/>
  <c r="AI71" i="16"/>
  <c r="AI72" i="16" s="1"/>
  <c r="AJ41" i="16"/>
  <c r="AJ24" i="16"/>
  <c r="AJ27" i="16"/>
  <c r="AJ28" i="16" s="1"/>
  <c r="AH83" i="16"/>
  <c r="AN70" i="6" s="1"/>
  <c r="AO33" i="5" l="1"/>
  <c r="AO35" i="5" s="1"/>
  <c r="AO37" i="5" s="1"/>
  <c r="AO32" i="5"/>
  <c r="AN137" i="6"/>
  <c r="AI53" i="16"/>
  <c r="AI54" i="16" s="1"/>
  <c r="AI52" i="16"/>
  <c r="AI79" i="16" s="1"/>
  <c r="AI81" i="16" s="1"/>
  <c r="AM11" i="18" s="1"/>
  <c r="AM13" i="18" s="1"/>
  <c r="AM15" i="18" s="1"/>
  <c r="AP74" i="8" s="1"/>
  <c r="AP77" i="8" s="1"/>
  <c r="AI55" i="16"/>
  <c r="AK18" i="16"/>
  <c r="AK20" i="16" s="1"/>
  <c r="AJ40" i="16"/>
  <c r="AJ60" i="16" s="1"/>
  <c r="AJ59" i="16" s="1"/>
  <c r="AJ25" i="16"/>
  <c r="AJ51" i="16" s="1"/>
  <c r="AO41" i="5" l="1"/>
  <c r="AO42" i="5" s="1"/>
  <c r="AO48" i="5" s="1"/>
  <c r="AK26" i="16"/>
  <c r="AL9" i="16" s="1"/>
  <c r="AQ16" i="6"/>
  <c r="AO38" i="5"/>
  <c r="AO44" i="5" s="1"/>
  <c r="AO53" i="5" s="1"/>
  <c r="AO56" i="5" s="1"/>
  <c r="AJ46" i="16"/>
  <c r="AK22" i="16"/>
  <c r="AJ42" i="16"/>
  <c r="AP24" i="6" s="1"/>
  <c r="AK27" i="16" l="1"/>
  <c r="AK28" i="16" s="1"/>
  <c r="AL18" i="16"/>
  <c r="AL20" i="16" s="1"/>
  <c r="AR16" i="6" s="1"/>
  <c r="AP29" i="6"/>
  <c r="AN18" i="18"/>
  <c r="AN20" i="18" s="1"/>
  <c r="AQ75" i="8" s="1"/>
  <c r="AQ15" i="6"/>
  <c r="AQ41" i="6" s="1"/>
  <c r="AQ50" i="6" s="1"/>
  <c r="AQ52" i="6"/>
  <c r="AQ23" i="6"/>
  <c r="AQ26" i="6" s="1"/>
  <c r="AQ54" i="5" s="1"/>
  <c r="AK41" i="16"/>
  <c r="AQ67" i="5"/>
  <c r="AJ61" i="16"/>
  <c r="AJ66" i="16" s="1"/>
  <c r="AJ64" i="16" s="1"/>
  <c r="AJ65" i="16" s="1"/>
  <c r="AJ56" i="16" s="1"/>
  <c r="AK24" i="16"/>
  <c r="AK25" i="16" s="1"/>
  <c r="AK51" i="16" s="1"/>
  <c r="AK40" i="16"/>
  <c r="AK60" i="16" s="1"/>
  <c r="AK59" i="16" s="1"/>
  <c r="AI83" i="16"/>
  <c r="AO70" i="6" s="1"/>
  <c r="AJ71" i="16"/>
  <c r="AJ72" i="16" s="1"/>
  <c r="AP33" i="5" l="1"/>
  <c r="AP35" i="5" s="1"/>
  <c r="AP37" i="5" s="1"/>
  <c r="AP32" i="5"/>
  <c r="AR52" i="6"/>
  <c r="AR15" i="6"/>
  <c r="AR41" i="6" s="1"/>
  <c r="AR50" i="6" s="1"/>
  <c r="AR23" i="6"/>
  <c r="AR26" i="6" s="1"/>
  <c r="AR54" i="5" s="1"/>
  <c r="AO137" i="6"/>
  <c r="AJ53" i="16"/>
  <c r="AJ54" i="16" s="1"/>
  <c r="AJ52" i="16"/>
  <c r="AJ79" i="16" s="1"/>
  <c r="AJ81" i="16" s="1"/>
  <c r="AN11" i="18" s="1"/>
  <c r="AN13" i="18" s="1"/>
  <c r="AN15" i="18" s="1"/>
  <c r="AQ74" i="8" s="1"/>
  <c r="AQ77" i="8" s="1"/>
  <c r="AK46" i="16"/>
  <c r="AJ55" i="16"/>
  <c r="AP41" i="5" s="1"/>
  <c r="AP42" i="5" s="1"/>
  <c r="AP48" i="5" s="1"/>
  <c r="AL26" i="16"/>
  <c r="AM9" i="16" s="1"/>
  <c r="AL22" i="16"/>
  <c r="AR67" i="5" s="1"/>
  <c r="AK42" i="16"/>
  <c r="AQ24" i="6" s="1"/>
  <c r="AQ29" i="6" l="1"/>
  <c r="AO18" i="18"/>
  <c r="AO20" i="18" s="1"/>
  <c r="AR75" i="8" s="1"/>
  <c r="AP38" i="5"/>
  <c r="AP44" i="5" s="1"/>
  <c r="AP53" i="5" s="1"/>
  <c r="AP56" i="5" s="1"/>
  <c r="AK61" i="16"/>
  <c r="AK66" i="16" s="1"/>
  <c r="AK64" i="16" s="1"/>
  <c r="AK65" i="16" s="1"/>
  <c r="AK71" i="16"/>
  <c r="AK72" i="16" s="1"/>
  <c r="AL27" i="16"/>
  <c r="AL28" i="16" s="1"/>
  <c r="AL41" i="16"/>
  <c r="AL24" i="16"/>
  <c r="AK53" i="16" l="1"/>
  <c r="AK54" i="16" s="1"/>
  <c r="AK52" i="16"/>
  <c r="AK79" i="16" s="1"/>
  <c r="AK81" i="16" s="1"/>
  <c r="AO11" i="18" s="1"/>
  <c r="AO13" i="18" s="1"/>
  <c r="AO15" i="18" s="1"/>
  <c r="AR74" i="8" s="1"/>
  <c r="AR77" i="8" s="1"/>
  <c r="AK56" i="16"/>
  <c r="AL25" i="16"/>
  <c r="AL51" i="16" s="1"/>
  <c r="AL40" i="16"/>
  <c r="AL60" i="16" s="1"/>
  <c r="AL59" i="16" s="1"/>
  <c r="AM18" i="16"/>
  <c r="AM20" i="16" s="1"/>
  <c r="AS16" i="6" s="1"/>
  <c r="C38" i="21" s="1" a="1"/>
  <c r="AJ83" i="16"/>
  <c r="AP70" i="6" s="1"/>
  <c r="C39" i="21" l="1"/>
  <c r="E39" i="21" s="1"/>
  <c r="C52" i="21"/>
  <c r="E52" i="21" s="1"/>
  <c r="C66" i="21"/>
  <c r="E66" i="21" s="1"/>
  <c r="C50" i="21"/>
  <c r="E50" i="21" s="1"/>
  <c r="C65" i="21"/>
  <c r="E65" i="21" s="1"/>
  <c r="C49" i="21"/>
  <c r="E49" i="21" s="1"/>
  <c r="C63" i="21"/>
  <c r="E63" i="21" s="1"/>
  <c r="C47" i="21"/>
  <c r="E47" i="21" s="1"/>
  <c r="C40" i="21"/>
  <c r="E40" i="21" s="1"/>
  <c r="C53" i="21"/>
  <c r="E53" i="21" s="1"/>
  <c r="C64" i="21"/>
  <c r="E64" i="21" s="1"/>
  <c r="C48" i="21"/>
  <c r="E48" i="21" s="1"/>
  <c r="C62" i="21"/>
  <c r="E62" i="21" s="1"/>
  <c r="C46" i="21"/>
  <c r="E46" i="21" s="1"/>
  <c r="C61" i="21"/>
  <c r="E61" i="21" s="1"/>
  <c r="C45" i="21"/>
  <c r="E45" i="21" s="1"/>
  <c r="C59" i="21"/>
  <c r="E59" i="21" s="1"/>
  <c r="C43" i="21"/>
  <c r="E43" i="21" s="1"/>
  <c r="C54" i="21"/>
  <c r="E54" i="21" s="1"/>
  <c r="C67" i="21"/>
  <c r="E67" i="21" s="1"/>
  <c r="C60" i="21"/>
  <c r="E60" i="21" s="1"/>
  <c r="C44" i="21"/>
  <c r="E44" i="21" s="1"/>
  <c r="C58" i="21"/>
  <c r="E58" i="21" s="1"/>
  <c r="C42" i="21"/>
  <c r="E42" i="21" s="1"/>
  <c r="C57" i="21"/>
  <c r="E57" i="21" s="1"/>
  <c r="C41" i="21"/>
  <c r="E41" i="21" s="1"/>
  <c r="C55" i="21"/>
  <c r="E55" i="21" s="1"/>
  <c r="C56" i="21"/>
  <c r="E56" i="21" s="1"/>
  <c r="C38" i="21"/>
  <c r="E38" i="21" s="1"/>
  <c r="C51" i="21"/>
  <c r="E51" i="21" s="1"/>
  <c r="AQ32" i="5"/>
  <c r="AQ33" i="5"/>
  <c r="AQ35" i="5" s="1"/>
  <c r="AQ37" i="5" s="1"/>
  <c r="AS52" i="6"/>
  <c r="AS15" i="6"/>
  <c r="AS41" i="6" s="1"/>
  <c r="AS50" i="6" s="1"/>
  <c r="AS23" i="6"/>
  <c r="AP137" i="6"/>
  <c r="AL46" i="16"/>
  <c r="AK55" i="16"/>
  <c r="AQ41" i="5" s="1"/>
  <c r="AQ42" i="5" s="1"/>
  <c r="AQ48" i="5" s="1"/>
  <c r="AM26" i="16"/>
  <c r="AM22" i="16"/>
  <c r="AS67" i="5" s="1"/>
  <c r="AL42" i="16"/>
  <c r="AR24" i="6" s="1"/>
  <c r="AQ38" i="5" l="1"/>
  <c r="H7" i="20" a="1"/>
  <c r="H14" i="20" s="1"/>
  <c r="I14" i="20" s="1"/>
  <c r="D140" i="21" a="1"/>
  <c r="AS26" i="6"/>
  <c r="AS54" i="5" s="1"/>
  <c r="H37" i="21" a="1"/>
  <c r="H9" i="20"/>
  <c r="I9" i="20" s="1"/>
  <c r="H8" i="20"/>
  <c r="I8" i="20" s="1"/>
  <c r="H15" i="20"/>
  <c r="I15" i="20" s="1"/>
  <c r="H20" i="20"/>
  <c r="I20" i="20" s="1"/>
  <c r="H23" i="20"/>
  <c r="I23" i="20" s="1"/>
  <c r="H28" i="20"/>
  <c r="I28" i="20" s="1"/>
  <c r="H17" i="20"/>
  <c r="I17" i="20" s="1"/>
  <c r="H29" i="20"/>
  <c r="I29" i="20" s="1"/>
  <c r="AR29" i="6"/>
  <c r="AP18" i="18"/>
  <c r="AP20" i="18" s="1"/>
  <c r="AS75" i="8" s="1"/>
  <c r="AQ44" i="5"/>
  <c r="AQ53" i="5" s="1"/>
  <c r="AQ56" i="5" s="1"/>
  <c r="AL61" i="16"/>
  <c r="AL71" i="16"/>
  <c r="AL72" i="16" s="1"/>
  <c r="AM41" i="16"/>
  <c r="AM24" i="16"/>
  <c r="AK83" i="16"/>
  <c r="AQ70" i="6" s="1"/>
  <c r="AM27" i="16"/>
  <c r="AM28" i="16" s="1"/>
  <c r="AN10" i="16"/>
  <c r="H16" i="20" l="1"/>
  <c r="I16" i="20" s="1"/>
  <c r="H11" i="20"/>
  <c r="I11" i="20" s="1"/>
  <c r="H30" i="20"/>
  <c r="I30" i="20" s="1"/>
  <c r="H21" i="20"/>
  <c r="I21" i="20" s="1"/>
  <c r="H7" i="20"/>
  <c r="I7" i="20" s="1"/>
  <c r="H22" i="20"/>
  <c r="I22" i="20" s="1"/>
  <c r="H13" i="20"/>
  <c r="I13" i="20" s="1"/>
  <c r="H25" i="20"/>
  <c r="I25" i="20" s="1"/>
  <c r="H18" i="20"/>
  <c r="I18" i="20" s="1"/>
  <c r="H26" i="20"/>
  <c r="I26" i="20" s="1"/>
  <c r="H27" i="20"/>
  <c r="I27" i="20" s="1"/>
  <c r="H19" i="20"/>
  <c r="I19" i="20" s="1"/>
  <c r="H36" i="20"/>
  <c r="I36" i="20" s="1"/>
  <c r="H32" i="20"/>
  <c r="I32" i="20" s="1"/>
  <c r="H24" i="20"/>
  <c r="I24" i="20" s="1"/>
  <c r="H33" i="20"/>
  <c r="I33" i="20" s="1"/>
  <c r="H34" i="20"/>
  <c r="I34" i="20" s="1"/>
  <c r="H12" i="20"/>
  <c r="I12" i="20" s="1"/>
  <c r="H31" i="20"/>
  <c r="I31" i="20" s="1"/>
  <c r="H10" i="20"/>
  <c r="I10" i="20" s="1"/>
  <c r="H35" i="20"/>
  <c r="I35" i="20" s="1"/>
  <c r="D141" i="21"/>
  <c r="E141" i="21" s="1"/>
  <c r="D164" i="21"/>
  <c r="D148" i="21"/>
  <c r="E148" i="21" s="1"/>
  <c r="D163" i="21"/>
  <c r="D147" i="21"/>
  <c r="E147" i="21" s="1"/>
  <c r="D158" i="21"/>
  <c r="D142" i="21"/>
  <c r="E142" i="21" s="1"/>
  <c r="D157" i="21"/>
  <c r="D168" i="21"/>
  <c r="D151" i="21"/>
  <c r="E151" i="21" s="1"/>
  <c r="D146" i="21"/>
  <c r="E146" i="21" s="1"/>
  <c r="D145" i="21"/>
  <c r="E145" i="21" s="1"/>
  <c r="D160" i="21"/>
  <c r="D144" i="21"/>
  <c r="E144" i="21" s="1"/>
  <c r="D159" i="21"/>
  <c r="D143" i="21"/>
  <c r="E143" i="21" s="1"/>
  <c r="D154" i="21"/>
  <c r="D169" i="21"/>
  <c r="D153" i="21"/>
  <c r="D152" i="21"/>
  <c r="E152" i="21" s="1"/>
  <c r="D162" i="21"/>
  <c r="D156" i="21"/>
  <c r="D140" i="21"/>
  <c r="E140" i="21" s="1"/>
  <c r="D155" i="21"/>
  <c r="D166" i="21"/>
  <c r="D150" i="21"/>
  <c r="E150" i="21" s="1"/>
  <c r="D165" i="21"/>
  <c r="D149" i="21"/>
  <c r="E149" i="21" s="1"/>
  <c r="D167" i="21"/>
  <c r="D161" i="21"/>
  <c r="H37" i="21"/>
  <c r="J37" i="21" s="1"/>
  <c r="H40" i="21"/>
  <c r="J40" i="21" s="1"/>
  <c r="H54" i="21"/>
  <c r="J54" i="21" s="1"/>
  <c r="H38" i="21"/>
  <c r="J38" i="21" s="1"/>
  <c r="H44" i="21"/>
  <c r="J44" i="21" s="1"/>
  <c r="H51" i="21"/>
  <c r="J51" i="21" s="1"/>
  <c r="H65" i="21"/>
  <c r="J65" i="21" s="1"/>
  <c r="H49" i="21"/>
  <c r="J49" i="21" s="1"/>
  <c r="H52" i="21"/>
  <c r="J52" i="21" s="1"/>
  <c r="H48" i="21"/>
  <c r="J48" i="21" s="1"/>
  <c r="H53" i="21"/>
  <c r="J53" i="21" s="1"/>
  <c r="H66" i="21"/>
  <c r="J66" i="21" s="1"/>
  <c r="H50" i="21"/>
  <c r="J50" i="21" s="1"/>
  <c r="H64" i="21"/>
  <c r="J64" i="21" s="1"/>
  <c r="H63" i="21"/>
  <c r="J63" i="21" s="1"/>
  <c r="H47" i="21"/>
  <c r="J47" i="21" s="1"/>
  <c r="H61" i="21"/>
  <c r="J61" i="21" s="1"/>
  <c r="H45" i="21"/>
  <c r="J45" i="21" s="1"/>
  <c r="H58" i="21"/>
  <c r="J58" i="21" s="1"/>
  <c r="H55" i="21"/>
  <c r="J55" i="21" s="1"/>
  <c r="H60" i="21"/>
  <c r="J60" i="21" s="1"/>
  <c r="H62" i="21"/>
  <c r="J62" i="21" s="1"/>
  <c r="H46" i="21"/>
  <c r="J46" i="21" s="1"/>
  <c r="H56" i="21"/>
  <c r="J56" i="21" s="1"/>
  <c r="H59" i="21"/>
  <c r="J59" i="21" s="1"/>
  <c r="H43" i="21"/>
  <c r="J43" i="21" s="1"/>
  <c r="H57" i="21"/>
  <c r="J57" i="21" s="1"/>
  <c r="H41" i="21"/>
  <c r="J41" i="21" s="1"/>
  <c r="H42" i="21"/>
  <c r="J42" i="21" s="1"/>
  <c r="H39" i="21"/>
  <c r="J39" i="21" s="1"/>
  <c r="AQ137" i="6"/>
  <c r="AL66" i="16"/>
  <c r="AL64" i="16" s="1"/>
  <c r="AL65" i="16" s="1"/>
  <c r="AL56" i="16" s="1"/>
  <c r="AL53" i="16"/>
  <c r="AL54" i="16" s="1"/>
  <c r="AL52" i="16"/>
  <c r="AL79" i="16" s="1"/>
  <c r="AL81" i="16" s="1"/>
  <c r="AP11" i="18" s="1"/>
  <c r="AP13" i="18" s="1"/>
  <c r="AP15" i="18" s="1"/>
  <c r="AS74" i="8" s="1"/>
  <c r="AS77" i="8" s="1"/>
  <c r="AN18" i="16"/>
  <c r="AN20" i="16" s="1"/>
  <c r="AM25" i="16"/>
  <c r="AM51" i="16" s="1"/>
  <c r="AM40" i="16"/>
  <c r="AM60" i="16" s="1"/>
  <c r="AM59" i="16" s="1"/>
  <c r="E161" i="21" l="1"/>
  <c r="E169" i="21"/>
  <c r="E164" i="21"/>
  <c r="E167" i="21"/>
  <c r="E166" i="21"/>
  <c r="E162" i="21"/>
  <c r="E160" i="21"/>
  <c r="E168" i="21"/>
  <c r="E163" i="21"/>
  <c r="E165" i="21"/>
  <c r="E159" i="21"/>
  <c r="AR32" i="5"/>
  <c r="AR33" i="5"/>
  <c r="AR35" i="5" s="1"/>
  <c r="AR37" i="5" s="1"/>
  <c r="AL55" i="16"/>
  <c r="AR41" i="5" s="1"/>
  <c r="AR42" i="5" s="1"/>
  <c r="AR48" i="5" s="1"/>
  <c r="AM46" i="16"/>
  <c r="AN26" i="16"/>
  <c r="AN22" i="16"/>
  <c r="AM42" i="16"/>
  <c r="AS24" i="6" s="1"/>
  <c r="AR38" i="5" l="1"/>
  <c r="AS29" i="6"/>
  <c r="AQ18" i="18"/>
  <c r="AQ20" i="18" s="1"/>
  <c r="AT75" i="8" s="1"/>
  <c r="AR44" i="5"/>
  <c r="AR53" i="5" s="1"/>
  <c r="AR56" i="5" s="1"/>
  <c r="AM61" i="16"/>
  <c r="AM66" i="16" s="1"/>
  <c r="AM64" i="16" s="1"/>
  <c r="AM65" i="16" s="1"/>
  <c r="AM71" i="16"/>
  <c r="AM72" i="16" s="1"/>
  <c r="AL83" i="16"/>
  <c r="AR70" i="6" s="1"/>
  <c r="AN41" i="16"/>
  <c r="AN24" i="16"/>
  <c r="AN27" i="16"/>
  <c r="AN28" i="16" s="1"/>
  <c r="AO10" i="16"/>
  <c r="AR137" i="6" l="1"/>
  <c r="AM53" i="16"/>
  <c r="AM54" i="16" s="1"/>
  <c r="AM52" i="16"/>
  <c r="AM79" i="16" s="1"/>
  <c r="AM81" i="16" s="1"/>
  <c r="AM56" i="16"/>
  <c r="AM55" i="16"/>
  <c r="AN25" i="16"/>
  <c r="AN51" i="16" s="1"/>
  <c r="AN40" i="16"/>
  <c r="AN60" i="16" s="1"/>
  <c r="AN59" i="16" s="1"/>
  <c r="AO18" i="16"/>
  <c r="AO20" i="16" s="1"/>
  <c r="AQ11" i="18" l="1"/>
  <c r="AQ13" i="18" s="1"/>
  <c r="AQ15" i="18" s="1"/>
  <c r="AT74" i="8" s="1"/>
  <c r="AT77" i="8" s="1"/>
  <c r="M37" i="21" a="1"/>
  <c r="AS41" i="5"/>
  <c r="AS42" i="5" s="1"/>
  <c r="AS48" i="5" s="1"/>
  <c r="AS33" i="5"/>
  <c r="AS35" i="5" s="1"/>
  <c r="AS37" i="5" s="1"/>
  <c r="AS32" i="5"/>
  <c r="AN46" i="16"/>
  <c r="AN42" i="16"/>
  <c r="AO26" i="16"/>
  <c r="AO27" i="16" s="1"/>
  <c r="AO28" i="16" s="1"/>
  <c r="AO22" i="16"/>
  <c r="M38" i="21" l="1"/>
  <c r="M63" i="21"/>
  <c r="O63" i="21" s="1"/>
  <c r="M47" i="21"/>
  <c r="M61" i="21"/>
  <c r="O61" i="21" s="1"/>
  <c r="M45" i="21"/>
  <c r="M60" i="21"/>
  <c r="O60" i="21" s="1"/>
  <c r="M44" i="21"/>
  <c r="M58" i="21"/>
  <c r="O58" i="21" s="1"/>
  <c r="M42" i="21"/>
  <c r="M49" i="21"/>
  <c r="M59" i="21"/>
  <c r="O59" i="21" s="1"/>
  <c r="M43" i="21"/>
  <c r="M57" i="21"/>
  <c r="O57" i="21" s="1"/>
  <c r="M41" i="21"/>
  <c r="M56" i="21"/>
  <c r="O56" i="21" s="1"/>
  <c r="M40" i="21"/>
  <c r="M54" i="21"/>
  <c r="M65" i="21"/>
  <c r="O65" i="21" s="1"/>
  <c r="M48" i="21"/>
  <c r="M46" i="21"/>
  <c r="M55" i="21"/>
  <c r="M39" i="21"/>
  <c r="M53" i="21"/>
  <c r="M37" i="21"/>
  <c r="M52" i="21"/>
  <c r="M66" i="21"/>
  <c r="O66" i="21" s="1"/>
  <c r="M50" i="21"/>
  <c r="M51" i="21"/>
  <c r="M64" i="21"/>
  <c r="O64" i="21" s="1"/>
  <c r="M62" i="21"/>
  <c r="O62" i="21" s="1"/>
  <c r="AS38" i="5"/>
  <c r="AS44" i="5" s="1"/>
  <c r="AS53" i="5" s="1"/>
  <c r="AS56" i="5" s="1"/>
  <c r="AN61" i="16"/>
  <c r="AN66" i="16" s="1"/>
  <c r="AN64" i="16" s="1"/>
  <c r="AN65" i="16" s="1"/>
  <c r="AM83" i="16"/>
  <c r="AS70" i="6" s="1"/>
  <c r="AO41" i="16"/>
  <c r="AO24" i="16"/>
  <c r="AN71" i="16"/>
  <c r="AN72" i="16" s="1"/>
  <c r="AS137" i="6" l="1"/>
  <c r="AN53" i="16"/>
  <c r="AN54" i="16" s="1"/>
  <c r="AN52" i="16"/>
  <c r="AN79" i="16" s="1"/>
  <c r="AN81" i="16" s="1"/>
  <c r="AN56" i="16"/>
  <c r="AN55" i="16"/>
  <c r="AO25" i="16"/>
  <c r="AO51" i="16" s="1"/>
  <c r="AO40" i="16"/>
  <c r="AO60" i="16" s="1"/>
  <c r="AO59" i="16" s="1"/>
  <c r="AO46" i="16" l="1"/>
  <c r="AO61" i="16"/>
  <c r="AO66" i="16" s="1"/>
  <c r="AO64" i="16" s="1"/>
  <c r="AO65" i="16" s="1"/>
  <c r="AO42" i="16"/>
  <c r="AO56" i="16" l="1"/>
  <c r="AO71" i="16"/>
  <c r="AO72" i="16" s="1"/>
  <c r="AN83" i="16"/>
  <c r="AO53" i="16" l="1"/>
  <c r="AO54" i="16" s="1"/>
  <c r="AO52" i="16"/>
  <c r="AO79" i="16" s="1"/>
  <c r="AO81" i="16" s="1"/>
  <c r="AO55" i="16"/>
  <c r="AO83" i="16" l="1"/>
  <c r="I46" i="16"/>
  <c r="O29" i="6" l="1"/>
  <c r="M18" i="18"/>
  <c r="M20" i="18" s="1"/>
  <c r="M11" i="18"/>
  <c r="M13" i="18" s="1"/>
  <c r="M15" i="18" s="1"/>
  <c r="P74" i="8" s="1"/>
  <c r="I83" i="16" l="1"/>
  <c r="O137" i="6" s="1"/>
  <c r="O139" i="6" s="1"/>
  <c r="P75" i="8"/>
  <c r="I49" i="16" l="1"/>
  <c r="O30" i="6"/>
  <c r="O31" i="6" s="1"/>
  <c r="O67" i="6" s="1"/>
  <c r="O72" i="6" s="1"/>
  <c r="I50" i="16"/>
  <c r="P47" i="8" l="1"/>
  <c r="P77" i="8"/>
  <c r="M46" i="16" l="1"/>
  <c r="L46" i="16"/>
  <c r="K46" i="16"/>
  <c r="J46" i="16"/>
  <c r="P29" i="6" l="1"/>
  <c r="N18" i="18"/>
  <c r="N20" i="18" s="1"/>
  <c r="J47" i="16"/>
  <c r="Q29" i="6"/>
  <c r="O18" i="18"/>
  <c r="O20" i="18" s="1"/>
  <c r="S29" i="6"/>
  <c r="Q18" i="18"/>
  <c r="Q20" i="18" s="1"/>
  <c r="R29" i="6"/>
  <c r="P18" i="18"/>
  <c r="P20" i="18" s="1"/>
  <c r="S75" i="8" s="1"/>
  <c r="P11" i="18"/>
  <c r="P13" i="18" s="1"/>
  <c r="P15" i="18" s="1"/>
  <c r="S74" i="8" s="1"/>
  <c r="S15" i="5"/>
  <c r="R15" i="5" l="1"/>
  <c r="K47" i="16"/>
  <c r="J48" i="16"/>
  <c r="J49" i="16" s="1"/>
  <c r="P63" i="5" s="1"/>
  <c r="L83" i="16"/>
  <c r="M83" i="16"/>
  <c r="Q11" i="18"/>
  <c r="Q13" i="18" s="1"/>
  <c r="Q15" i="18" s="1"/>
  <c r="T74" i="8" s="1"/>
  <c r="T75" i="8"/>
  <c r="R137" i="6" l="1"/>
  <c r="R22" i="5"/>
  <c r="S70" i="6"/>
  <c r="S137" i="6" s="1"/>
  <c r="S22" i="5"/>
  <c r="K48" i="16"/>
  <c r="P30" i="6"/>
  <c r="P31" i="6" s="1"/>
  <c r="P67" i="6" s="1"/>
  <c r="J50" i="16"/>
  <c r="L47" i="16"/>
  <c r="K49" i="16"/>
  <c r="Q63" i="5" s="1"/>
  <c r="N11" i="18"/>
  <c r="N13" i="18" s="1"/>
  <c r="N15" i="18" s="1"/>
  <c r="Q74" i="8" s="1"/>
  <c r="J83" i="16"/>
  <c r="P137" i="6" s="1"/>
  <c r="R75" i="8"/>
  <c r="O11" i="18"/>
  <c r="O13" i="18" s="1"/>
  <c r="O15" i="18" s="1"/>
  <c r="R74" i="8" s="1"/>
  <c r="K83" i="16"/>
  <c r="Q137" i="6" s="1"/>
  <c r="Q75" i="8"/>
  <c r="K75" i="8" l="1"/>
  <c r="G35" i="11" s="1"/>
  <c r="K74" i="8"/>
  <c r="M47" i="16"/>
  <c r="L48" i="16"/>
  <c r="Q30" i="6"/>
  <c r="Q31" i="6" s="1"/>
  <c r="Q67" i="6" s="1"/>
  <c r="K50" i="16"/>
  <c r="E242" i="21"/>
  <c r="Q77" i="8"/>
  <c r="O47" i="21"/>
  <c r="O50" i="21"/>
  <c r="O42" i="21"/>
  <c r="O43" i="21"/>
  <c r="O53" i="21"/>
  <c r="O45" i="21"/>
  <c r="O52" i="21"/>
  <c r="O44" i="21"/>
  <c r="O54" i="21"/>
  <c r="O46" i="21"/>
  <c r="O51" i="21"/>
  <c r="O55" i="21"/>
  <c r="O49" i="21"/>
  <c r="O41" i="21"/>
  <c r="O48" i="21"/>
  <c r="O39" i="21"/>
  <c r="O37" i="21"/>
  <c r="O40" i="21"/>
  <c r="O38" i="21"/>
  <c r="N47" i="16" l="1"/>
  <c r="R77" i="8"/>
  <c r="M48" i="16"/>
  <c r="R30" i="6"/>
  <c r="R31" i="6" s="1"/>
  <c r="R67" i="6" s="1"/>
  <c r="L50" i="16"/>
  <c r="S77" i="8" s="1"/>
  <c r="L49" i="16"/>
  <c r="E241" i="21"/>
  <c r="E243" i="21"/>
  <c r="E240" i="21"/>
  <c r="G34" i="11"/>
  <c r="R25" i="5" l="1"/>
  <c r="R63" i="5"/>
  <c r="N48" i="16"/>
  <c r="N49" i="16" s="1"/>
  <c r="S30" i="6"/>
  <c r="S31" i="6" s="1"/>
  <c r="S67" i="6" s="1"/>
  <c r="M50" i="16"/>
  <c r="T77" i="8" s="1"/>
  <c r="M49" i="16"/>
  <c r="O47" i="16"/>
  <c r="S25" i="5" l="1"/>
  <c r="S63" i="5"/>
  <c r="T25" i="5"/>
  <c r="T63" i="5"/>
  <c r="P47" i="16"/>
  <c r="O48" i="16"/>
  <c r="N50" i="16"/>
  <c r="U77" i="8" s="1"/>
  <c r="T30" i="6"/>
  <c r="T31" i="6" s="1"/>
  <c r="T67" i="6" s="1"/>
  <c r="P48" i="16" l="1"/>
  <c r="O50" i="16"/>
  <c r="V77" i="8" s="1"/>
  <c r="U30" i="6"/>
  <c r="U31" i="6" s="1"/>
  <c r="U67" i="6" s="1"/>
  <c r="O49" i="16"/>
  <c r="Q47" i="16"/>
  <c r="P49" i="16"/>
  <c r="U25" i="5" l="1"/>
  <c r="U63" i="5"/>
  <c r="V25" i="5"/>
  <c r="V63" i="5"/>
  <c r="R47" i="16"/>
  <c r="Q48" i="16"/>
  <c r="Q49" i="16" s="1"/>
  <c r="V30" i="6"/>
  <c r="V31" i="6" s="1"/>
  <c r="V67" i="6" s="1"/>
  <c r="P50" i="16"/>
  <c r="W77" i="8" s="1"/>
  <c r="W25" i="5" l="1"/>
  <c r="W63" i="5"/>
  <c r="R48" i="16"/>
  <c r="R49" i="16" s="1"/>
  <c r="Q50" i="16"/>
  <c r="X77" i="8" s="1"/>
  <c r="W30" i="6"/>
  <c r="W31" i="6" s="1"/>
  <c r="W67" i="6" s="1"/>
  <c r="S47" i="16"/>
  <c r="X25" i="5" l="1"/>
  <c r="X63" i="5"/>
  <c r="S48" i="16"/>
  <c r="S49" i="16" s="1"/>
  <c r="R50" i="16"/>
  <c r="Y77" i="8" s="1"/>
  <c r="X30" i="6"/>
  <c r="X31" i="6" s="1"/>
  <c r="X67" i="6" s="1"/>
  <c r="T47" i="16"/>
  <c r="Y25" i="5" l="1"/>
  <c r="Y63" i="5"/>
  <c r="T48" i="16"/>
  <c r="T49" i="16" s="1"/>
  <c r="S50" i="16"/>
  <c r="Z77" i="8" s="1"/>
  <c r="Y30" i="6"/>
  <c r="Y31" i="6" s="1"/>
  <c r="Y67" i="6" s="1"/>
  <c r="U47" i="16"/>
  <c r="Z25" i="5" l="1"/>
  <c r="Z63" i="5"/>
  <c r="V47" i="16"/>
  <c r="U48" i="16"/>
  <c r="U49" i="16" s="1"/>
  <c r="T50" i="16"/>
  <c r="AA77" i="8" s="1"/>
  <c r="Z30" i="6"/>
  <c r="Z31" i="6" s="1"/>
  <c r="Z67" i="6" s="1"/>
  <c r="AA25" i="5" l="1"/>
  <c r="AA63" i="5"/>
  <c r="V48" i="16"/>
  <c r="V49" i="16" s="1"/>
  <c r="U50" i="16"/>
  <c r="AB77" i="8" s="1"/>
  <c r="AA30" i="6"/>
  <c r="AA31" i="6" s="1"/>
  <c r="AA67" i="6" s="1"/>
  <c r="W47" i="16"/>
  <c r="AB25" i="5" l="1"/>
  <c r="AB63" i="5"/>
  <c r="X47" i="16"/>
  <c r="W48" i="16"/>
  <c r="W49" i="16" s="1"/>
  <c r="V50" i="16"/>
  <c r="AC77" i="8" s="1"/>
  <c r="AB30" i="6"/>
  <c r="AB31" i="6" s="1"/>
  <c r="AB67" i="6" s="1"/>
  <c r="AC25" i="5" l="1"/>
  <c r="AC63" i="5"/>
  <c r="Y47" i="16"/>
  <c r="X48" i="16"/>
  <c r="W50" i="16"/>
  <c r="AD77" i="8" s="1"/>
  <c r="AC30" i="6"/>
  <c r="AC31" i="6" s="1"/>
  <c r="AC67" i="6" s="1"/>
  <c r="Y48" i="16" l="1"/>
  <c r="Y49" i="16" s="1"/>
  <c r="X50" i="16"/>
  <c r="AE77" i="8" s="1"/>
  <c r="AD30" i="6"/>
  <c r="AD31" i="6" s="1"/>
  <c r="AD67" i="6" s="1"/>
  <c r="X49" i="16"/>
  <c r="Z47" i="16"/>
  <c r="AD25" i="5" l="1"/>
  <c r="AD63" i="5"/>
  <c r="AE25" i="5"/>
  <c r="AE63" i="5"/>
  <c r="AA47" i="16"/>
  <c r="Z48" i="16"/>
  <c r="Z49" i="16" s="1"/>
  <c r="Y50" i="16"/>
  <c r="AF77" i="8" s="1"/>
  <c r="AE30" i="6"/>
  <c r="AE31" i="6" s="1"/>
  <c r="AE67" i="6" s="1"/>
  <c r="AF25" i="5" l="1"/>
  <c r="AF63" i="5"/>
  <c r="AB47" i="16"/>
  <c r="AA48" i="16"/>
  <c r="AA49" i="16" s="1"/>
  <c r="Z50" i="16"/>
  <c r="AG77" i="8" s="1"/>
  <c r="AF30" i="6"/>
  <c r="AF31" i="6" s="1"/>
  <c r="AF67" i="6" s="1"/>
  <c r="AG25" i="5" l="1"/>
  <c r="AG63" i="5"/>
  <c r="AC47" i="16"/>
  <c r="AB48" i="16"/>
  <c r="AB49" i="16" s="1"/>
  <c r="AA50" i="16"/>
  <c r="AH77" i="8" s="1"/>
  <c r="AG30" i="6"/>
  <c r="AG31" i="6" s="1"/>
  <c r="AG67" i="6" s="1"/>
  <c r="AH25" i="5" l="1"/>
  <c r="AH63" i="5"/>
  <c r="AC48" i="16"/>
  <c r="AI30" i="6" s="1"/>
  <c r="AI31" i="6" s="1"/>
  <c r="AI67" i="6" s="1"/>
  <c r="AB50" i="16"/>
  <c r="AH30" i="6"/>
  <c r="AH31" i="6" s="1"/>
  <c r="AH67" i="6" s="1"/>
  <c r="AD47" i="16"/>
  <c r="AC49" i="16"/>
  <c r="G53" i="16"/>
  <c r="G63" i="16"/>
  <c r="H53" i="16"/>
  <c r="H63" i="16"/>
  <c r="AI25" i="5" l="1"/>
  <c r="AI63" i="5"/>
  <c r="N73" i="5"/>
  <c r="N48" i="6" s="1"/>
  <c r="AD48" i="16"/>
  <c r="AC50" i="16"/>
  <c r="AE47" i="16"/>
  <c r="AI77" i="8"/>
  <c r="AD49" i="16" l="1"/>
  <c r="AJ63" i="5" s="1"/>
  <c r="AJ30" i="6"/>
  <c r="AJ31" i="6" s="1"/>
  <c r="AJ67" i="6" s="1"/>
  <c r="AF47" i="16"/>
  <c r="AE48" i="16"/>
  <c r="AD50" i="16"/>
  <c r="N57" i="6"/>
  <c r="N59" i="6" s="1"/>
  <c r="N49" i="6"/>
  <c r="N53" i="6" s="1"/>
  <c r="AE49" i="16" l="1"/>
  <c r="AK63" i="5" s="1"/>
  <c r="AK30" i="6"/>
  <c r="AK31" i="6" s="1"/>
  <c r="AK67" i="6" s="1"/>
  <c r="AG47" i="16"/>
  <c r="AF48" i="16"/>
  <c r="AE50" i="16"/>
  <c r="N51" i="6"/>
  <c r="N54" i="6" s="1"/>
  <c r="N61" i="6" s="1"/>
  <c r="AF49" i="16" l="1"/>
  <c r="AL63" i="5" s="1"/>
  <c r="AL30" i="6"/>
  <c r="AL31" i="6" s="1"/>
  <c r="AL67" i="6" s="1"/>
  <c r="AH47" i="16"/>
  <c r="AG48" i="16"/>
  <c r="AF50" i="16"/>
  <c r="N62" i="6"/>
  <c r="AG49" i="16" l="1"/>
  <c r="AM63" i="5" s="1"/>
  <c r="AM30" i="6"/>
  <c r="AM31" i="6" s="1"/>
  <c r="AM67" i="6" s="1"/>
  <c r="AI47" i="16"/>
  <c r="AH48" i="16"/>
  <c r="AG50" i="16"/>
  <c r="AH49" i="16" l="1"/>
  <c r="AN63" i="5" s="1"/>
  <c r="AN30" i="6"/>
  <c r="AN31" i="6" s="1"/>
  <c r="AN67" i="6" s="1"/>
  <c r="AJ47" i="16"/>
  <c r="AI48" i="16"/>
  <c r="AO30" i="6" s="1"/>
  <c r="AO31" i="6" s="1"/>
  <c r="AO67" i="6" s="1"/>
  <c r="AH50" i="16"/>
  <c r="AJ48" i="16" l="1"/>
  <c r="AI50" i="16"/>
  <c r="AI49" i="16"/>
  <c r="AO63" i="5" s="1"/>
  <c r="AK47" i="16"/>
  <c r="AJ49" i="16" l="1"/>
  <c r="AP63" i="5" s="1"/>
  <c r="AP30" i="6"/>
  <c r="AP31" i="6" s="1"/>
  <c r="AP67" i="6" s="1"/>
  <c r="AK48" i="16"/>
  <c r="AJ50" i="16"/>
  <c r="AL47" i="16"/>
  <c r="AK49" i="16" l="1"/>
  <c r="AQ63" i="5" s="1"/>
  <c r="AQ30" i="6"/>
  <c r="AQ31" i="6" s="1"/>
  <c r="AQ67" i="6" s="1"/>
  <c r="N141" i="5"/>
  <c r="N115" i="6" s="1"/>
  <c r="AM47" i="16"/>
  <c r="AL48" i="16"/>
  <c r="AR30" i="6" s="1"/>
  <c r="AR31" i="6" s="1"/>
  <c r="AR67" i="6" s="1"/>
  <c r="AK50" i="16"/>
  <c r="N116" i="6" l="1"/>
  <c r="N118" i="6" s="1"/>
  <c r="N121" i="6" s="1"/>
  <c r="N124" i="6"/>
  <c r="N126" i="6" s="1"/>
  <c r="AM48" i="16"/>
  <c r="AS30" i="6" s="1"/>
  <c r="AS31" i="6" s="1"/>
  <c r="AS67" i="6" s="1"/>
  <c r="G208" i="21" s="1" a="1"/>
  <c r="AL50" i="16"/>
  <c r="AL49" i="16"/>
  <c r="AR63" i="5" s="1"/>
  <c r="AN47" i="16"/>
  <c r="N120" i="6"/>
  <c r="G210" i="21" l="1"/>
  <c r="G225" i="21"/>
  <c r="G209" i="21"/>
  <c r="G224" i="21"/>
  <c r="G208" i="21"/>
  <c r="G223" i="21"/>
  <c r="G234" i="21"/>
  <c r="I234" i="21" s="1"/>
  <c r="G218" i="21"/>
  <c r="G227" i="21"/>
  <c r="I227" i="21" s="1"/>
  <c r="G222" i="21"/>
  <c r="G237" i="21"/>
  <c r="I237" i="21" s="1"/>
  <c r="G221" i="21"/>
  <c r="G236" i="21"/>
  <c r="I236" i="21" s="1"/>
  <c r="G220" i="21"/>
  <c r="G235" i="21"/>
  <c r="I235" i="21" s="1"/>
  <c r="G219" i="21"/>
  <c r="G230" i="21"/>
  <c r="I230" i="21" s="1"/>
  <c r="G214" i="21"/>
  <c r="G233" i="21"/>
  <c r="I233" i="21" s="1"/>
  <c r="G217" i="21"/>
  <c r="G232" i="21"/>
  <c r="I232" i="21" s="1"/>
  <c r="G216" i="21"/>
  <c r="G231" i="21"/>
  <c r="I231" i="21" s="1"/>
  <c r="G215" i="21"/>
  <c r="G226" i="21"/>
  <c r="G229" i="21"/>
  <c r="I229" i="21" s="1"/>
  <c r="G213" i="21"/>
  <c r="G228" i="21"/>
  <c r="I228" i="21" s="1"/>
  <c r="G212" i="21"/>
  <c r="G211" i="21"/>
  <c r="AM49" i="16"/>
  <c r="AS63" i="5" s="1"/>
  <c r="AO47" i="16"/>
  <c r="AN48" i="16"/>
  <c r="AN49" i="16" s="1"/>
  <c r="AM50" i="16"/>
  <c r="N128" i="6"/>
  <c r="AO48" i="16" l="1"/>
  <c r="AN50" i="16"/>
  <c r="AO49" i="16" l="1"/>
  <c r="AO50" i="16"/>
  <c r="P131" i="5"/>
  <c r="P130" i="5" s="1"/>
  <c r="P62" i="5"/>
  <c r="Q131" i="5" l="1"/>
  <c r="Q130" i="5" s="1"/>
  <c r="Q62" i="5"/>
  <c r="Q67" i="5"/>
  <c r="P67" i="5"/>
  <c r="P69" i="5" s="1"/>
  <c r="P137" i="5" s="1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O135" i="5"/>
  <c r="O73" i="5"/>
  <c r="O48" i="6" s="1"/>
  <c r="O139" i="5" l="1"/>
  <c r="AJ135" i="5"/>
  <c r="AK135" i="5"/>
  <c r="AL135" i="5"/>
  <c r="AM135" i="5"/>
  <c r="AN135" i="5"/>
  <c r="AO135" i="5"/>
  <c r="AP135" i="5"/>
  <c r="AQ135" i="5"/>
  <c r="AR135" i="5"/>
  <c r="AS135" i="5"/>
  <c r="P71" i="5"/>
  <c r="P73" i="5" s="1"/>
  <c r="P48" i="6" s="1"/>
  <c r="AH135" i="5"/>
  <c r="O141" i="5"/>
  <c r="O115" i="6" s="1"/>
  <c r="R135" i="5"/>
  <c r="U135" i="5"/>
  <c r="Y135" i="5"/>
  <c r="AC135" i="5"/>
  <c r="AG135" i="5"/>
  <c r="S135" i="5"/>
  <c r="X135" i="5"/>
  <c r="AA135" i="5"/>
  <c r="AE135" i="5"/>
  <c r="P50" i="8"/>
  <c r="AI135" i="5"/>
  <c r="T135" i="5"/>
  <c r="V135" i="5"/>
  <c r="W135" i="5"/>
  <c r="Z135" i="5"/>
  <c r="AB135" i="5"/>
  <c r="AD135" i="5"/>
  <c r="AF135" i="5"/>
  <c r="P135" i="5"/>
  <c r="P139" i="5" s="1"/>
  <c r="Q69" i="5"/>
  <c r="Q137" i="5" s="1"/>
  <c r="Q135" i="5"/>
  <c r="Q139" i="5" l="1"/>
  <c r="Q71" i="5"/>
  <c r="Q73" i="5" s="1"/>
  <c r="Q48" i="6" s="1"/>
  <c r="P141" i="5"/>
  <c r="Q141" i="5"/>
  <c r="Q115" i="6" s="1"/>
  <c r="Q50" i="8"/>
  <c r="O49" i="6"/>
  <c r="O57" i="6"/>
  <c r="O59" i="6" s="1"/>
  <c r="P46" i="8" s="1"/>
  <c r="O124" i="6"/>
  <c r="O126" i="6" s="1"/>
  <c r="O116" i="6"/>
  <c r="P11" i="8"/>
  <c r="R50" i="8" l="1"/>
  <c r="P115" i="6"/>
  <c r="Q11" i="8"/>
  <c r="Q89" i="8" s="1"/>
  <c r="P87" i="8"/>
  <c r="P88" i="8"/>
  <c r="P89" i="8"/>
  <c r="P90" i="8"/>
  <c r="P30" i="8"/>
  <c r="O118" i="6"/>
  <c r="O121" i="6" s="1"/>
  <c r="O120" i="6"/>
  <c r="P57" i="6"/>
  <c r="P59" i="6" s="1"/>
  <c r="P49" i="6"/>
  <c r="R11" i="8"/>
  <c r="Q49" i="6"/>
  <c r="Q57" i="6"/>
  <c r="Q59" i="6" s="1"/>
  <c r="R46" i="8" s="1"/>
  <c r="O53" i="6"/>
  <c r="O51" i="6"/>
  <c r="O54" i="6" s="1"/>
  <c r="P55" i="8" s="1"/>
  <c r="Q116" i="6"/>
  <c r="Q124" i="6"/>
  <c r="Q126" i="6" s="1"/>
  <c r="Q90" i="8" l="1"/>
  <c r="Q30" i="8"/>
  <c r="Q87" i="8"/>
  <c r="Q88" i="8"/>
  <c r="P116" i="6"/>
  <c r="P124" i="6"/>
  <c r="P126" i="6" s="1"/>
  <c r="O128" i="6"/>
  <c r="P53" i="6"/>
  <c r="P51" i="6"/>
  <c r="P91" i="8"/>
  <c r="Q118" i="6"/>
  <c r="Q121" i="6" s="1"/>
  <c r="Q120" i="6"/>
  <c r="P45" i="8"/>
  <c r="P48" i="8" s="1"/>
  <c r="P54" i="8" s="1"/>
  <c r="P56" i="8" s="1"/>
  <c r="O61" i="6"/>
  <c r="Q53" i="6"/>
  <c r="Q51" i="6"/>
  <c r="Q54" i="6" s="1"/>
  <c r="R55" i="8" s="1"/>
  <c r="R88" i="8"/>
  <c r="R89" i="8"/>
  <c r="R90" i="8"/>
  <c r="R87" i="8"/>
  <c r="R30" i="8"/>
  <c r="Q46" i="8"/>
  <c r="Q91" i="8" l="1"/>
  <c r="P120" i="6"/>
  <c r="P118" i="6"/>
  <c r="P121" i="6" s="1"/>
  <c r="Q128" i="6"/>
  <c r="R45" i="8"/>
  <c r="Q61" i="6"/>
  <c r="F27" i="19"/>
  <c r="F26" i="19"/>
  <c r="F28" i="19"/>
  <c r="F29" i="19"/>
  <c r="F25" i="19"/>
  <c r="P93" i="8"/>
  <c r="F24" i="19"/>
  <c r="P10" i="8"/>
  <c r="O62" i="6"/>
  <c r="P54" i="6"/>
  <c r="P61" i="6" s="1"/>
  <c r="Q45" i="8"/>
  <c r="R91" i="8"/>
  <c r="G24" i="19"/>
  <c r="G29" i="19"/>
  <c r="G27" i="19"/>
  <c r="G25" i="19"/>
  <c r="G26" i="19"/>
  <c r="Q93" i="8"/>
  <c r="G28" i="19"/>
  <c r="P128" i="6" l="1"/>
  <c r="P62" i="6"/>
  <c r="P29" i="8"/>
  <c r="Q62" i="6"/>
  <c r="H26" i="19"/>
  <c r="H28" i="19"/>
  <c r="H25" i="19"/>
  <c r="H29" i="19"/>
  <c r="H27" i="19"/>
  <c r="H24" i="19"/>
  <c r="R93" i="8"/>
  <c r="Q55" i="8"/>
  <c r="F16" i="19" l="1"/>
  <c r="F14" i="19"/>
  <c r="F17" i="19"/>
  <c r="F15" i="19"/>
  <c r="F12" i="19"/>
  <c r="F13" i="19"/>
  <c r="P33" i="8"/>
  <c r="P37" i="8" s="1"/>
  <c r="P61" i="8" l="1"/>
  <c r="P67" i="8" s="1"/>
  <c r="P68" i="8" s="1"/>
  <c r="D85" i="11"/>
  <c r="AI46" i="5"/>
  <c r="AI114" i="5" s="1"/>
  <c r="AI91" i="5"/>
  <c r="AI89" i="5" s="1"/>
  <c r="AI71" i="6"/>
  <c r="AI138" i="6" s="1"/>
  <c r="AI23" i="5" l="1"/>
  <c r="AI21" i="5" s="1"/>
  <c r="Q99" i="5"/>
  <c r="P99" i="5"/>
  <c r="I20" i="1"/>
  <c r="P4" i="1" s="1"/>
  <c r="J3" i="16" l="1"/>
  <c r="J3" i="14"/>
  <c r="P4" i="5"/>
  <c r="N4" i="18"/>
  <c r="Q4" i="8"/>
  <c r="G11" i="19" s="1"/>
  <c r="P4" i="6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Q4" i="1"/>
  <c r="O2" i="18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AD2" i="18" s="1"/>
  <c r="AE2" i="18" s="1"/>
  <c r="AF2" i="18" s="1"/>
  <c r="AG2" i="18" s="1"/>
  <c r="AH2" i="18" s="1"/>
  <c r="AI2" i="18" s="1"/>
  <c r="AJ2" i="18" s="1"/>
  <c r="AK2" i="18" s="1"/>
  <c r="AL2" i="18" s="1"/>
  <c r="AM2" i="18" s="1"/>
  <c r="AN2" i="18" s="1"/>
  <c r="AO2" i="18" s="1"/>
  <c r="AP2" i="18" s="1"/>
  <c r="AQ2" i="18" s="1"/>
  <c r="R2" i="8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Q2" i="6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Q2" i="5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T13" i="8"/>
  <c r="AJ32" i="8" l="1"/>
  <c r="G13" i="11"/>
  <c r="K13" i="8"/>
  <c r="H13" i="11" s="1"/>
  <c r="AJ76" i="8"/>
  <c r="F10" i="11"/>
  <c r="AJ2" i="5"/>
  <c r="AK2" i="5" s="1"/>
  <c r="AL2" i="5" s="1"/>
  <c r="AM2" i="5" s="1"/>
  <c r="AN2" i="5" s="1"/>
  <c r="AO2" i="5" s="1"/>
  <c r="AP2" i="5" s="1"/>
  <c r="AQ2" i="5" s="1"/>
  <c r="AR2" i="5" s="1"/>
  <c r="AS2" i="5" s="1"/>
  <c r="K3" i="16"/>
  <c r="R4" i="8"/>
  <c r="H11" i="19" s="1"/>
  <c r="O4" i="18"/>
  <c r="K3" i="14"/>
  <c r="Q4" i="6"/>
  <c r="Q4" i="5"/>
  <c r="R4" i="1"/>
  <c r="K76" i="8" l="1"/>
  <c r="AJ77" i="8"/>
  <c r="L3" i="16"/>
  <c r="S4" i="8"/>
  <c r="I11" i="19" s="1"/>
  <c r="P4" i="18"/>
  <c r="R4" i="5"/>
  <c r="L3" i="14"/>
  <c r="R4" i="6"/>
  <c r="S4" i="1"/>
  <c r="Q4" i="18" l="1"/>
  <c r="S4" i="5"/>
  <c r="T4" i="8"/>
  <c r="J11" i="19" s="1"/>
  <c r="M3" i="14"/>
  <c r="M3" i="16"/>
  <c r="S4" i="6"/>
  <c r="T4" i="1"/>
  <c r="K77" i="8"/>
  <c r="G33" i="11"/>
  <c r="F240" i="21" l="1"/>
  <c r="F243" i="21"/>
  <c r="F241" i="21"/>
  <c r="F242" i="21"/>
  <c r="T4" i="5"/>
  <c r="N3" i="16"/>
  <c r="T4" i="6"/>
  <c r="N3" i="14"/>
  <c r="U4" i="8"/>
  <c r="K11" i="19" s="1"/>
  <c r="R4" i="18"/>
  <c r="U4" i="1"/>
  <c r="S4" i="18" l="1"/>
  <c r="O3" i="14"/>
  <c r="U4" i="5"/>
  <c r="O3" i="16"/>
  <c r="U4" i="6"/>
  <c r="V4" i="8"/>
  <c r="L11" i="19" s="1"/>
  <c r="V4" i="1"/>
  <c r="T4" i="18" l="1"/>
  <c r="W4" i="8"/>
  <c r="M11" i="19" s="1"/>
  <c r="P3" i="14"/>
  <c r="V4" i="5"/>
  <c r="P3" i="16"/>
  <c r="V4" i="6"/>
  <c r="W4" i="1"/>
  <c r="U4" i="18" l="1"/>
  <c r="W4" i="5"/>
  <c r="Q3" i="16"/>
  <c r="W4" i="6"/>
  <c r="Q3" i="14"/>
  <c r="X4" i="8"/>
  <c r="N11" i="19" s="1"/>
  <c r="X4" i="1"/>
  <c r="R69" i="1"/>
  <c r="S69" i="1" l="1"/>
  <c r="R70" i="1"/>
  <c r="X4" i="6"/>
  <c r="V4" i="18"/>
  <c r="X4" i="5"/>
  <c r="R3" i="14"/>
  <c r="Y4" i="8"/>
  <c r="O11" i="19" s="1"/>
  <c r="R3" i="16"/>
  <c r="Y4" i="1"/>
  <c r="R71" i="1" l="1"/>
  <c r="R40" i="5"/>
  <c r="S3" i="16"/>
  <c r="W4" i="18"/>
  <c r="Y4" i="5"/>
  <c r="S3" i="14"/>
  <c r="Y4" i="6"/>
  <c r="Z4" i="8"/>
  <c r="P11" i="19" s="1"/>
  <c r="Z4" i="1"/>
  <c r="T69" i="1"/>
  <c r="S70" i="1"/>
  <c r="S71" i="1" l="1"/>
  <c r="S40" i="5"/>
  <c r="R108" i="5"/>
  <c r="R112" i="5" s="1"/>
  <c r="R121" i="5" s="1"/>
  <c r="R124" i="5" s="1"/>
  <c r="R44" i="5"/>
  <c r="R53" i="5" s="1"/>
  <c r="R56" i="5" s="1"/>
  <c r="U69" i="1"/>
  <c r="T70" i="1"/>
  <c r="T3" i="16"/>
  <c r="Z4" i="6"/>
  <c r="T3" i="14"/>
  <c r="AA4" i="8"/>
  <c r="Q11" i="19" s="1"/>
  <c r="X4" i="18"/>
  <c r="Z4" i="5"/>
  <c r="AA4" i="1"/>
  <c r="R84" i="5"/>
  <c r="R94" i="5" l="1"/>
  <c r="R80" i="1"/>
  <c r="R68" i="6" s="1"/>
  <c r="R64" i="5"/>
  <c r="S75" i="1"/>
  <c r="T71" i="1"/>
  <c r="T40" i="5"/>
  <c r="S108" i="5"/>
  <c r="S112" i="5" s="1"/>
  <c r="S121" i="5" s="1"/>
  <c r="S124" i="5" s="1"/>
  <c r="S44" i="5"/>
  <c r="S53" i="5" s="1"/>
  <c r="S56" i="5" s="1"/>
  <c r="R16" i="5"/>
  <c r="R14" i="5" s="1"/>
  <c r="R31" i="5" s="1"/>
  <c r="R82" i="5"/>
  <c r="R99" i="5" s="1"/>
  <c r="S84" i="5"/>
  <c r="AA4" i="6"/>
  <c r="Y4" i="18"/>
  <c r="AA4" i="5"/>
  <c r="U3" i="14"/>
  <c r="AB4" i="8"/>
  <c r="R11" i="19" s="1"/>
  <c r="U3" i="16"/>
  <c r="AB4" i="1"/>
  <c r="U70" i="1"/>
  <c r="V69" i="1"/>
  <c r="V70" i="1" s="1"/>
  <c r="V3" i="14" l="1"/>
  <c r="AB4" i="5"/>
  <c r="Z4" i="18"/>
  <c r="AB4" i="6"/>
  <c r="V3" i="16"/>
  <c r="AC4" i="8"/>
  <c r="S11" i="19" s="1"/>
  <c r="AC4" i="1"/>
  <c r="X69" i="1"/>
  <c r="R81" i="1"/>
  <c r="T108" i="5"/>
  <c r="T112" i="5" s="1"/>
  <c r="T121" i="5" s="1"/>
  <c r="T124" i="5" s="1"/>
  <c r="T44" i="5"/>
  <c r="T53" i="5" s="1"/>
  <c r="T56" i="5" s="1"/>
  <c r="R135" i="6"/>
  <c r="R92" i="5"/>
  <c r="R26" i="5"/>
  <c r="R24" i="5" s="1"/>
  <c r="S94" i="5"/>
  <c r="S64" i="5"/>
  <c r="S80" i="1"/>
  <c r="S68" i="6" s="1"/>
  <c r="T75" i="1"/>
  <c r="W71" i="1"/>
  <c r="V71" i="1"/>
  <c r="V40" i="5"/>
  <c r="U71" i="1"/>
  <c r="U40" i="5"/>
  <c r="S82" i="5"/>
  <c r="S99" i="5" s="1"/>
  <c r="T84" i="5"/>
  <c r="S16" i="5"/>
  <c r="S14" i="5" s="1"/>
  <c r="S31" i="5" s="1"/>
  <c r="R132" i="5"/>
  <c r="R130" i="5" s="1"/>
  <c r="R62" i="5"/>
  <c r="R46" i="5" l="1"/>
  <c r="R114" i="5" s="1"/>
  <c r="R71" i="6"/>
  <c r="R91" i="5"/>
  <c r="S81" i="1"/>
  <c r="S62" i="5"/>
  <c r="S132" i="5"/>
  <c r="S130" i="5" s="1"/>
  <c r="X70" i="1"/>
  <c r="Y69" i="1"/>
  <c r="R69" i="5"/>
  <c r="R71" i="5"/>
  <c r="R73" i="5" s="1"/>
  <c r="R137" i="5"/>
  <c r="R139" i="5" s="1"/>
  <c r="R141" i="5" s="1"/>
  <c r="R115" i="6" s="1"/>
  <c r="U44" i="5"/>
  <c r="U53" i="5" s="1"/>
  <c r="U56" i="5" s="1"/>
  <c r="U108" i="5"/>
  <c r="U112" i="5" s="1"/>
  <c r="U121" i="5" s="1"/>
  <c r="U124" i="5" s="1"/>
  <c r="S92" i="5"/>
  <c r="S26" i="5"/>
  <c r="S24" i="5" s="1"/>
  <c r="W3" i="14"/>
  <c r="AA4" i="18"/>
  <c r="AC4" i="5"/>
  <c r="AD4" i="8"/>
  <c r="T11" i="19" s="1"/>
  <c r="W3" i="16"/>
  <c r="AC4" i="6"/>
  <c r="AD4" i="1"/>
  <c r="Q46" i="5"/>
  <c r="Q114" i="5" s="1"/>
  <c r="Q91" i="5"/>
  <c r="Q71" i="6"/>
  <c r="T94" i="5"/>
  <c r="T80" i="1"/>
  <c r="T68" i="6" s="1"/>
  <c r="T64" i="5"/>
  <c r="U75" i="1"/>
  <c r="T82" i="5"/>
  <c r="T99" i="5" s="1"/>
  <c r="T16" i="5"/>
  <c r="T14" i="5" s="1"/>
  <c r="T31" i="5" s="1"/>
  <c r="U84" i="5"/>
  <c r="V108" i="5"/>
  <c r="V112" i="5" s="1"/>
  <c r="V121" i="5" s="1"/>
  <c r="V124" i="5" s="1"/>
  <c r="V44" i="5"/>
  <c r="V53" i="5" s="1"/>
  <c r="V56" i="5" s="1"/>
  <c r="S135" i="6"/>
  <c r="P46" i="5"/>
  <c r="P114" i="5" s="1"/>
  <c r="P91" i="5"/>
  <c r="P71" i="6"/>
  <c r="R116" i="6" l="1"/>
  <c r="R124" i="6"/>
  <c r="R126" i="6" s="1"/>
  <c r="P138" i="6"/>
  <c r="P139" i="6" s="1"/>
  <c r="P72" i="6"/>
  <c r="U16" i="5"/>
  <c r="U14" i="5" s="1"/>
  <c r="U31" i="5" s="1"/>
  <c r="U82" i="5"/>
  <c r="U99" i="5" s="1"/>
  <c r="V84" i="5"/>
  <c r="T62" i="5"/>
  <c r="T132" i="5"/>
  <c r="T130" i="5" s="1"/>
  <c r="Q89" i="5"/>
  <c r="Q23" i="5"/>
  <c r="Q21" i="5" s="1"/>
  <c r="X71" i="1"/>
  <c r="X40" i="5"/>
  <c r="S71" i="6"/>
  <c r="S46" i="5"/>
  <c r="S114" i="5" s="1"/>
  <c r="S91" i="5"/>
  <c r="T81" i="1"/>
  <c r="T135" i="6"/>
  <c r="S50" i="8"/>
  <c r="S11" i="8"/>
  <c r="R48" i="6"/>
  <c r="R89" i="5"/>
  <c r="R23" i="5"/>
  <c r="R21" i="5" s="1"/>
  <c r="P89" i="5"/>
  <c r="P23" i="5"/>
  <c r="P21" i="5" s="1"/>
  <c r="AB4" i="18"/>
  <c r="AD4" i="6"/>
  <c r="X3" i="14"/>
  <c r="AD4" i="5"/>
  <c r="AE4" i="1"/>
  <c r="AE4" i="8"/>
  <c r="U11" i="19" s="1"/>
  <c r="X3" i="16"/>
  <c r="S137" i="5"/>
  <c r="S139" i="5" s="1"/>
  <c r="S141" i="5" s="1"/>
  <c r="S115" i="6" s="1"/>
  <c r="R138" i="6"/>
  <c r="R139" i="6" s="1"/>
  <c r="R72" i="6"/>
  <c r="S47" i="8" s="1"/>
  <c r="T26" i="5"/>
  <c r="T24" i="5" s="1"/>
  <c r="T92" i="5"/>
  <c r="U80" i="1"/>
  <c r="U68" i="6" s="1"/>
  <c r="U64" i="5"/>
  <c r="U94" i="5"/>
  <c r="V75" i="1"/>
  <c r="Q138" i="6"/>
  <c r="Q139" i="6" s="1"/>
  <c r="Q72" i="6"/>
  <c r="Y70" i="1"/>
  <c r="Z69" i="1"/>
  <c r="S69" i="5"/>
  <c r="S71" i="5" s="1"/>
  <c r="S73" i="5" s="1"/>
  <c r="T50" i="8" l="1"/>
  <c r="T11" i="8"/>
  <c r="S48" i="6"/>
  <c r="Y71" i="1"/>
  <c r="Y40" i="5"/>
  <c r="S90" i="8"/>
  <c r="S30" i="8"/>
  <c r="S88" i="8"/>
  <c r="S89" i="8"/>
  <c r="S87" i="8"/>
  <c r="Z70" i="1"/>
  <c r="AA69" i="1"/>
  <c r="AA70" i="1" s="1"/>
  <c r="V94" i="5"/>
  <c r="V80" i="1"/>
  <c r="V68" i="6" s="1"/>
  <c r="V64" i="5"/>
  <c r="W75" i="1"/>
  <c r="R57" i="6"/>
  <c r="R59" i="6" s="1"/>
  <c r="R49" i="6"/>
  <c r="T46" i="5"/>
  <c r="T114" i="5" s="1"/>
  <c r="T91" i="5"/>
  <c r="T71" i="6"/>
  <c r="U81" i="1"/>
  <c r="X108" i="5"/>
  <c r="X112" i="5" s="1"/>
  <c r="X121" i="5" s="1"/>
  <c r="X124" i="5" s="1"/>
  <c r="X44" i="5"/>
  <c r="X53" i="5" s="1"/>
  <c r="X56" i="5" s="1"/>
  <c r="T137" i="5"/>
  <c r="T139" i="5" s="1"/>
  <c r="T141" i="5" s="1"/>
  <c r="T115" i="6" s="1"/>
  <c r="S89" i="5"/>
  <c r="S23" i="5"/>
  <c r="S21" i="5" s="1"/>
  <c r="T69" i="5"/>
  <c r="T71" i="5" s="1"/>
  <c r="T73" i="5" s="1"/>
  <c r="U92" i="5"/>
  <c r="U26" i="5"/>
  <c r="U24" i="5" s="1"/>
  <c r="AF4" i="8"/>
  <c r="V11" i="19" s="1"/>
  <c r="AE4" i="6"/>
  <c r="Y3" i="16"/>
  <c r="AE4" i="5"/>
  <c r="AF4" i="1"/>
  <c r="AC4" i="18"/>
  <c r="Y3" i="14"/>
  <c r="V82" i="5"/>
  <c r="V99" i="5" s="1"/>
  <c r="W84" i="5"/>
  <c r="V16" i="5"/>
  <c r="V14" i="5" s="1"/>
  <c r="V31" i="5" s="1"/>
  <c r="R120" i="6"/>
  <c r="R118" i="6"/>
  <c r="R121" i="6" s="1"/>
  <c r="S116" i="6"/>
  <c r="S124" i="6"/>
  <c r="S126" i="6" s="1"/>
  <c r="R10" i="8"/>
  <c r="R29" i="8" s="1"/>
  <c r="R47" i="8"/>
  <c r="R48" i="8" s="1"/>
  <c r="R54" i="8" s="1"/>
  <c r="R56" i="8" s="1"/>
  <c r="U62" i="5"/>
  <c r="U132" i="5"/>
  <c r="U130" i="5" s="1"/>
  <c r="U135" i="6"/>
  <c r="S138" i="6"/>
  <c r="S139" i="6" s="1"/>
  <c r="S72" i="6"/>
  <c r="T47" i="8" s="1"/>
  <c r="Q10" i="8"/>
  <c r="Q47" i="8"/>
  <c r="Q48" i="8" s="1"/>
  <c r="Q54" i="8" s="1"/>
  <c r="Q56" i="8" s="1"/>
  <c r="U50" i="8" l="1"/>
  <c r="U11" i="8"/>
  <c r="T48" i="6"/>
  <c r="U137" i="5"/>
  <c r="U139" i="5" s="1"/>
  <c r="U141" i="5" s="1"/>
  <c r="U115" i="6" s="1"/>
  <c r="R128" i="6"/>
  <c r="T138" i="6"/>
  <c r="T139" i="6" s="1"/>
  <c r="T72" i="6"/>
  <c r="U47" i="8" s="1"/>
  <c r="S46" i="8"/>
  <c r="V62" i="5"/>
  <c r="V132" i="5"/>
  <c r="V130" i="5" s="1"/>
  <c r="Z71" i="1"/>
  <c r="Z40" i="5"/>
  <c r="Q29" i="8"/>
  <c r="U69" i="5"/>
  <c r="U71" i="5" s="1"/>
  <c r="U73" i="5" s="1"/>
  <c r="S118" i="6"/>
  <c r="S121" i="6" s="1"/>
  <c r="S120" i="6"/>
  <c r="T89" i="5"/>
  <c r="T23" i="5"/>
  <c r="T21" i="5" s="1"/>
  <c r="V135" i="6"/>
  <c r="S91" i="8"/>
  <c r="S57" i="6"/>
  <c r="S59" i="6" s="1"/>
  <c r="S49" i="6"/>
  <c r="W16" i="5"/>
  <c r="W14" i="5" s="1"/>
  <c r="W31" i="5" s="1"/>
  <c r="W82" i="5"/>
  <c r="W99" i="5" s="1"/>
  <c r="X84" i="5"/>
  <c r="Z3" i="16"/>
  <c r="AF4" i="5"/>
  <c r="AF4" i="6"/>
  <c r="AG4" i="8"/>
  <c r="W11" i="19" s="1"/>
  <c r="Z3" i="14"/>
  <c r="AG4" i="1"/>
  <c r="AD4" i="18"/>
  <c r="V92" i="5"/>
  <c r="V26" i="5"/>
  <c r="V24" i="5" s="1"/>
  <c r="T30" i="8"/>
  <c r="T89" i="8"/>
  <c r="T90" i="8"/>
  <c r="T88" i="8"/>
  <c r="T87" i="8"/>
  <c r="H14" i="19"/>
  <c r="H13" i="19"/>
  <c r="H12" i="19"/>
  <c r="R33" i="8"/>
  <c r="R37" i="8" s="1"/>
  <c r="H17" i="19"/>
  <c r="H15" i="19"/>
  <c r="H16" i="19"/>
  <c r="T124" i="6"/>
  <c r="T126" i="6" s="1"/>
  <c r="T116" i="6"/>
  <c r="U71" i="6"/>
  <c r="U46" i="5"/>
  <c r="U114" i="5" s="1"/>
  <c r="U91" i="5"/>
  <c r="V81" i="1"/>
  <c r="R51" i="6"/>
  <c r="R53" i="6"/>
  <c r="W94" i="5"/>
  <c r="W64" i="5"/>
  <c r="W80" i="1"/>
  <c r="W68" i="6" s="1"/>
  <c r="X75" i="1"/>
  <c r="AA71" i="1"/>
  <c r="AB71" i="1"/>
  <c r="AA40" i="5"/>
  <c r="Y108" i="5"/>
  <c r="Y112" i="5" s="1"/>
  <c r="Y121" i="5" s="1"/>
  <c r="Y124" i="5" s="1"/>
  <c r="Y44" i="5"/>
  <c r="Y53" i="5" s="1"/>
  <c r="Y56" i="5" s="1"/>
  <c r="T91" i="8" l="1"/>
  <c r="U124" i="6"/>
  <c r="U126" i="6" s="1"/>
  <c r="U116" i="6"/>
  <c r="V50" i="8"/>
  <c r="V11" i="8"/>
  <c r="U48" i="6"/>
  <c r="W132" i="5"/>
  <c r="W130" i="5" s="1"/>
  <c r="W62" i="5"/>
  <c r="V71" i="6"/>
  <c r="V46" i="5"/>
  <c r="V114" i="5" s="1"/>
  <c r="V91" i="5"/>
  <c r="T120" i="6"/>
  <c r="T118" i="6"/>
  <c r="T121" i="6" s="1"/>
  <c r="J28" i="19"/>
  <c r="J25" i="19"/>
  <c r="J24" i="19"/>
  <c r="J29" i="19"/>
  <c r="J27" i="19"/>
  <c r="J26" i="19"/>
  <c r="T93" i="8"/>
  <c r="X82" i="5"/>
  <c r="X99" i="5" s="1"/>
  <c r="X16" i="5"/>
  <c r="X14" i="5" s="1"/>
  <c r="X31" i="5" s="1"/>
  <c r="Y84" i="5"/>
  <c r="S51" i="6"/>
  <c r="S53" i="6"/>
  <c r="I25" i="19"/>
  <c r="I24" i="19"/>
  <c r="S93" i="8"/>
  <c r="I27" i="19"/>
  <c r="I26" i="19"/>
  <c r="I29" i="19"/>
  <c r="I28" i="19"/>
  <c r="G15" i="19"/>
  <c r="G12" i="19"/>
  <c r="G14" i="19"/>
  <c r="Q33" i="8"/>
  <c r="Q37" i="8" s="1"/>
  <c r="G17" i="19"/>
  <c r="G13" i="19"/>
  <c r="G16" i="19"/>
  <c r="V137" i="5"/>
  <c r="V139" i="5" s="1"/>
  <c r="V141" i="5" s="1"/>
  <c r="V115" i="6" s="1"/>
  <c r="U89" i="5"/>
  <c r="U23" i="5"/>
  <c r="U21" i="5" s="1"/>
  <c r="V69" i="5"/>
  <c r="V71" i="5" s="1"/>
  <c r="V73" i="5" s="1"/>
  <c r="T57" i="6"/>
  <c r="T59" i="6" s="1"/>
  <c r="T49" i="6"/>
  <c r="S45" i="8"/>
  <c r="S48" i="8" s="1"/>
  <c r="S54" i="8" s="1"/>
  <c r="AG4" i="6"/>
  <c r="AA3" i="14"/>
  <c r="AA3" i="16"/>
  <c r="AE4" i="18"/>
  <c r="AG4" i="5"/>
  <c r="AH4" i="8"/>
  <c r="X11" i="19" s="1"/>
  <c r="AH4" i="1"/>
  <c r="T46" i="8"/>
  <c r="Z108" i="5"/>
  <c r="Z112" i="5" s="1"/>
  <c r="Z121" i="5" s="1"/>
  <c r="Z124" i="5" s="1"/>
  <c r="Z44" i="5"/>
  <c r="Z53" i="5" s="1"/>
  <c r="Z56" i="5" s="1"/>
  <c r="U88" i="8"/>
  <c r="U30" i="8"/>
  <c r="U89" i="8"/>
  <c r="U90" i="8"/>
  <c r="U87" i="8"/>
  <c r="W92" i="5"/>
  <c r="W26" i="5"/>
  <c r="W24" i="5" s="1"/>
  <c r="X94" i="5"/>
  <c r="X64" i="5"/>
  <c r="Y75" i="1"/>
  <c r="X80" i="1"/>
  <c r="X68" i="6" s="1"/>
  <c r="AA108" i="5"/>
  <c r="AA112" i="5" s="1"/>
  <c r="AA121" i="5" s="1"/>
  <c r="AA124" i="5" s="1"/>
  <c r="AA44" i="5"/>
  <c r="AA53" i="5" s="1"/>
  <c r="AA56" i="5" s="1"/>
  <c r="W135" i="6"/>
  <c r="R54" i="6"/>
  <c r="U138" i="6"/>
  <c r="U139" i="6" s="1"/>
  <c r="U72" i="6"/>
  <c r="V47" i="8" s="1"/>
  <c r="S128" i="6"/>
  <c r="R61" i="6" l="1"/>
  <c r="U91" i="8"/>
  <c r="K29" i="19" s="1"/>
  <c r="S10" i="8"/>
  <c r="R62" i="6"/>
  <c r="X135" i="6"/>
  <c r="U46" i="8"/>
  <c r="W50" i="8"/>
  <c r="W11" i="8"/>
  <c r="V48" i="6"/>
  <c r="V124" i="6"/>
  <c r="V126" i="6" s="1"/>
  <c r="V116" i="6"/>
  <c r="T45" i="8"/>
  <c r="T48" i="8" s="1"/>
  <c r="T54" i="8" s="1"/>
  <c r="U120" i="6"/>
  <c r="U118" i="6"/>
  <c r="U121" i="6" s="1"/>
  <c r="Y94" i="5"/>
  <c r="Y64" i="5"/>
  <c r="Z75" i="1"/>
  <c r="Y80" i="1"/>
  <c r="Y68" i="6" s="1"/>
  <c r="S54" i="6"/>
  <c r="T128" i="6"/>
  <c r="V138" i="6"/>
  <c r="V139" i="6" s="1"/>
  <c r="V72" i="6"/>
  <c r="W47" i="8" s="1"/>
  <c r="U57" i="6"/>
  <c r="U59" i="6" s="1"/>
  <c r="U49" i="6"/>
  <c r="K28" i="19"/>
  <c r="K24" i="19"/>
  <c r="K25" i="19"/>
  <c r="K27" i="19"/>
  <c r="S55" i="8"/>
  <c r="S56" i="8" s="1"/>
  <c r="X132" i="5"/>
  <c r="X130" i="5" s="1"/>
  <c r="X62" i="5"/>
  <c r="Y82" i="5"/>
  <c r="Y99" i="5" s="1"/>
  <c r="Y16" i="5"/>
  <c r="Y14" i="5" s="1"/>
  <c r="Y31" i="5" s="1"/>
  <c r="Z84" i="5"/>
  <c r="W69" i="5"/>
  <c r="W71" i="5" s="1"/>
  <c r="W73" i="5" s="1"/>
  <c r="V89" i="8"/>
  <c r="V90" i="8"/>
  <c r="V30" i="8"/>
  <c r="V88" i="8"/>
  <c r="V87" i="8"/>
  <c r="X92" i="5"/>
  <c r="X26" i="5"/>
  <c r="X24" i="5" s="1"/>
  <c r="AH4" i="6"/>
  <c r="AI4" i="1"/>
  <c r="AB3" i="16"/>
  <c r="AF4" i="18"/>
  <c r="AB3" i="14"/>
  <c r="AI4" i="8"/>
  <c r="Y11" i="19" s="1"/>
  <c r="AH4" i="5"/>
  <c r="T51" i="6"/>
  <c r="T53" i="6"/>
  <c r="V89" i="5"/>
  <c r="V23" i="5"/>
  <c r="V21" i="5" s="1"/>
  <c r="W137" i="5"/>
  <c r="W139" i="5"/>
  <c r="W141" i="5" s="1"/>
  <c r="W115" i="6" s="1"/>
  <c r="K26" i="19" l="1"/>
  <c r="U93" i="8"/>
  <c r="V91" i="8"/>
  <c r="L29" i="19" s="1"/>
  <c r="X50" i="8"/>
  <c r="X11" i="8"/>
  <c r="W48" i="6"/>
  <c r="AC3" i="16"/>
  <c r="AC3" i="14"/>
  <c r="AG4" i="18"/>
  <c r="AJ4" i="1"/>
  <c r="AI4" i="5"/>
  <c r="AI4" i="6"/>
  <c r="AJ4" i="8"/>
  <c r="Z11" i="19" s="1"/>
  <c r="W81" i="1"/>
  <c r="Z82" i="5"/>
  <c r="Z99" i="5" s="1"/>
  <c r="Z16" i="5"/>
  <c r="Z14" i="5" s="1"/>
  <c r="Z31" i="5" s="1"/>
  <c r="AA84" i="5"/>
  <c r="Y92" i="5"/>
  <c r="Y26" i="5"/>
  <c r="Y24" i="5" s="1"/>
  <c r="U128" i="6"/>
  <c r="U45" i="8"/>
  <c r="U48" i="8" s="1"/>
  <c r="U54" i="8" s="1"/>
  <c r="X69" i="5"/>
  <c r="X71" i="5" s="1"/>
  <c r="X73" i="5" s="1"/>
  <c r="U51" i="6"/>
  <c r="U53" i="6"/>
  <c r="Y135" i="6"/>
  <c r="V57" i="6"/>
  <c r="V59" i="6" s="1"/>
  <c r="V49" i="6"/>
  <c r="W124" i="6"/>
  <c r="W126" i="6" s="1"/>
  <c r="W116" i="6"/>
  <c r="L24" i="19"/>
  <c r="L27" i="19"/>
  <c r="L26" i="19"/>
  <c r="L25" i="19"/>
  <c r="L28" i="19"/>
  <c r="V93" i="8"/>
  <c r="T54" i="6"/>
  <c r="X137" i="5"/>
  <c r="X139" i="5" s="1"/>
  <c r="X141" i="5" s="1"/>
  <c r="X115" i="6" s="1"/>
  <c r="T55" i="8"/>
  <c r="T56" i="8" s="1"/>
  <c r="Z64" i="5"/>
  <c r="Z94" i="5"/>
  <c r="Z80" i="1"/>
  <c r="Z68" i="6" s="1"/>
  <c r="AA75" i="1"/>
  <c r="S61" i="6"/>
  <c r="V120" i="6"/>
  <c r="V118" i="6"/>
  <c r="V121" i="6" s="1"/>
  <c r="W89" i="8"/>
  <c r="W88" i="8"/>
  <c r="W90" i="8"/>
  <c r="W30" i="8"/>
  <c r="W87" i="8"/>
  <c r="S29" i="8"/>
  <c r="V46" i="8"/>
  <c r="Y62" i="5"/>
  <c r="Y132" i="5"/>
  <c r="Y130" i="5" s="1"/>
  <c r="S62" i="6" l="1"/>
  <c r="T10" i="8"/>
  <c r="W91" i="8"/>
  <c r="Z26" i="5"/>
  <c r="Z24" i="5" s="1"/>
  <c r="Z92" i="5"/>
  <c r="U55" i="8"/>
  <c r="V53" i="6"/>
  <c r="V51" i="6"/>
  <c r="AA16" i="5"/>
  <c r="AA14" i="5" s="1"/>
  <c r="AA31" i="5" s="1"/>
  <c r="AA82" i="5"/>
  <c r="AA99" i="5" s="1"/>
  <c r="AB84" i="5"/>
  <c r="W57" i="6"/>
  <c r="W59" i="6" s="1"/>
  <c r="W49" i="6"/>
  <c r="Y137" i="5"/>
  <c r="Y139" i="5" s="1"/>
  <c r="Y141" i="5" s="1"/>
  <c r="Y115" i="6" s="1"/>
  <c r="Z62" i="5"/>
  <c r="Z132" i="5"/>
  <c r="Z130" i="5" s="1"/>
  <c r="W118" i="6"/>
  <c r="W121" i="6" s="1"/>
  <c r="W120" i="6"/>
  <c r="V45" i="8"/>
  <c r="V48" i="8" s="1"/>
  <c r="V54" i="8" s="1"/>
  <c r="U56" i="8"/>
  <c r="X30" i="8"/>
  <c r="X88" i="8"/>
  <c r="X89" i="8"/>
  <c r="X90" i="8"/>
  <c r="X87" i="8"/>
  <c r="X124" i="6"/>
  <c r="X126" i="6" s="1"/>
  <c r="X116" i="6"/>
  <c r="Y69" i="5"/>
  <c r="Y71" i="5" s="1"/>
  <c r="Y73" i="5" s="1"/>
  <c r="I14" i="19"/>
  <c r="I16" i="19"/>
  <c r="I15" i="19"/>
  <c r="I12" i="19"/>
  <c r="I13" i="19"/>
  <c r="S33" i="8"/>
  <c r="S37" i="8" s="1"/>
  <c r="I17" i="19"/>
  <c r="V128" i="6"/>
  <c r="AA94" i="5"/>
  <c r="AA64" i="5"/>
  <c r="AA80" i="1"/>
  <c r="AA68" i="6" s="1"/>
  <c r="AB75" i="1"/>
  <c r="W46" i="8"/>
  <c r="U54" i="6"/>
  <c r="T61" i="6"/>
  <c r="Z135" i="6"/>
  <c r="Y50" i="8"/>
  <c r="Y11" i="8"/>
  <c r="X48" i="6"/>
  <c r="W46" i="5"/>
  <c r="W114" i="5" s="1"/>
  <c r="W71" i="6"/>
  <c r="W91" i="5"/>
  <c r="X81" i="1"/>
  <c r="AK4" i="8"/>
  <c r="AA11" i="19" s="1"/>
  <c r="AD3" i="16"/>
  <c r="AH4" i="18"/>
  <c r="AD3" i="14"/>
  <c r="AJ4" i="6"/>
  <c r="AJ4" i="5"/>
  <c r="AK4" i="1"/>
  <c r="Y124" i="6" l="1"/>
  <c r="Y126" i="6" s="1"/>
  <c r="Y116" i="6"/>
  <c r="AB94" i="5"/>
  <c r="AC75" i="1"/>
  <c r="AB80" i="1"/>
  <c r="AB68" i="6" s="1"/>
  <c r="AB64" i="5"/>
  <c r="V54" i="6"/>
  <c r="AK4" i="6"/>
  <c r="AK4" i="5"/>
  <c r="AE3" i="16"/>
  <c r="AI4" i="18"/>
  <c r="AE3" i="14"/>
  <c r="AL4" i="8"/>
  <c r="AB11" i="19" s="1"/>
  <c r="AL4" i="1"/>
  <c r="W138" i="6"/>
  <c r="W139" i="6" s="1"/>
  <c r="W72" i="6"/>
  <c r="X47" i="8" s="1"/>
  <c r="V55" i="8"/>
  <c r="V56" i="8" s="1"/>
  <c r="V67" i="8" s="1"/>
  <c r="AA135" i="6"/>
  <c r="Z50" i="8"/>
  <c r="Z11" i="8"/>
  <c r="Y48" i="6"/>
  <c r="W128" i="6"/>
  <c r="Z137" i="5"/>
  <c r="Z139" i="5" s="1"/>
  <c r="Z141" i="5" s="1"/>
  <c r="Z115" i="6" s="1"/>
  <c r="W51" i="6"/>
  <c r="W53" i="6"/>
  <c r="AB82" i="5"/>
  <c r="AB99" i="5" s="1"/>
  <c r="AB16" i="5"/>
  <c r="AB14" i="5" s="1"/>
  <c r="AB31" i="5" s="1"/>
  <c r="AC84" i="5"/>
  <c r="W45" i="8"/>
  <c r="W48" i="8" s="1"/>
  <c r="W54" i="8" s="1"/>
  <c r="V61" i="6"/>
  <c r="Y90" i="8"/>
  <c r="Y87" i="8"/>
  <c r="Y89" i="8"/>
  <c r="Y88" i="8"/>
  <c r="Y30" i="8"/>
  <c r="AA132" i="5"/>
  <c r="AA130" i="5" s="1"/>
  <c r="AA62" i="5"/>
  <c r="X91" i="8"/>
  <c r="U61" i="6"/>
  <c r="Z69" i="5"/>
  <c r="Z71" i="5" s="1"/>
  <c r="Z73" i="5" s="1"/>
  <c r="M27" i="19"/>
  <c r="M29" i="19"/>
  <c r="M28" i="19"/>
  <c r="M25" i="19"/>
  <c r="M26" i="19"/>
  <c r="W93" i="8"/>
  <c r="M24" i="19"/>
  <c r="W23" i="5"/>
  <c r="W21" i="5" s="1"/>
  <c r="W89" i="5"/>
  <c r="X71" i="6"/>
  <c r="X46" i="5"/>
  <c r="X114" i="5" s="1"/>
  <c r="X91" i="5"/>
  <c r="Y81" i="1"/>
  <c r="X57" i="6"/>
  <c r="X59" i="6" s="1"/>
  <c r="X49" i="6"/>
  <c r="T62" i="6"/>
  <c r="U10" i="8"/>
  <c r="U29" i="8" s="1"/>
  <c r="AA92" i="5"/>
  <c r="AA26" i="5"/>
  <c r="AA24" i="5" s="1"/>
  <c r="X120" i="6"/>
  <c r="X118" i="6"/>
  <c r="X121" i="6" s="1"/>
  <c r="X46" i="8"/>
  <c r="T29" i="8"/>
  <c r="AA50" i="8" l="1"/>
  <c r="AA11" i="8"/>
  <c r="Z48" i="6"/>
  <c r="X89" i="5"/>
  <c r="X23" i="5"/>
  <c r="X21" i="5" s="1"/>
  <c r="AA69" i="5"/>
  <c r="AA71" i="5" s="1"/>
  <c r="AA73" i="5" s="1"/>
  <c r="V62" i="6"/>
  <c r="W10" i="8"/>
  <c r="W29" i="8" s="1"/>
  <c r="Z116" i="6"/>
  <c r="Z124" i="6"/>
  <c r="Z126" i="6" s="1"/>
  <c r="AM4" i="8"/>
  <c r="AC11" i="19" s="1"/>
  <c r="AF3" i="16"/>
  <c r="AJ4" i="18"/>
  <c r="AF3" i="14"/>
  <c r="AL4" i="6"/>
  <c r="AL4" i="5"/>
  <c r="AM4" i="1"/>
  <c r="W55" i="8"/>
  <c r="AB135" i="6"/>
  <c r="K17" i="19"/>
  <c r="K16" i="19"/>
  <c r="K12" i="19"/>
  <c r="K14" i="19"/>
  <c r="U33" i="8"/>
  <c r="U37" i="8" s="1"/>
  <c r="K15" i="19"/>
  <c r="K13" i="19"/>
  <c r="Y46" i="8"/>
  <c r="AA137" i="5"/>
  <c r="AA139" i="5" s="1"/>
  <c r="AA141" i="5" s="1"/>
  <c r="AA115" i="6" s="1"/>
  <c r="Y57" i="6"/>
  <c r="Y59" i="6" s="1"/>
  <c r="Y49" i="6"/>
  <c r="AC94" i="5"/>
  <c r="AC80" i="1"/>
  <c r="AC68" i="6" s="1"/>
  <c r="AD75" i="1"/>
  <c r="AC64" i="5"/>
  <c r="Y120" i="6"/>
  <c r="Y118" i="6"/>
  <c r="Y121" i="6" s="1"/>
  <c r="J14" i="19"/>
  <c r="J15" i="19"/>
  <c r="J16" i="19"/>
  <c r="J12" i="19"/>
  <c r="T33" i="8"/>
  <c r="T37" i="8" s="1"/>
  <c r="J17" i="19"/>
  <c r="J13" i="19"/>
  <c r="X128" i="6"/>
  <c r="X138" i="6"/>
  <c r="X139" i="6" s="1"/>
  <c r="X72" i="6"/>
  <c r="Y47" i="8" s="1"/>
  <c r="U62" i="6"/>
  <c r="V10" i="8"/>
  <c r="Y91" i="8"/>
  <c r="W56" i="8"/>
  <c r="W67" i="8" s="1"/>
  <c r="X45" i="8"/>
  <c r="X48" i="8" s="1"/>
  <c r="X54" i="8" s="1"/>
  <c r="Z30" i="8"/>
  <c r="Z88" i="8"/>
  <c r="Z87" i="8"/>
  <c r="Z89" i="8"/>
  <c r="Z90" i="8"/>
  <c r="AB26" i="5"/>
  <c r="AB24" i="5" s="1"/>
  <c r="AB92" i="5"/>
  <c r="X51" i="6"/>
  <c r="X53" i="6"/>
  <c r="Z81" i="1"/>
  <c r="Y46" i="5"/>
  <c r="Y114" i="5" s="1"/>
  <c r="Y91" i="5"/>
  <c r="Y71" i="6"/>
  <c r="N24" i="19"/>
  <c r="N25" i="19"/>
  <c r="N26" i="19"/>
  <c r="N28" i="19"/>
  <c r="N27" i="19"/>
  <c r="X93" i="8"/>
  <c r="N29" i="19"/>
  <c r="AC82" i="5"/>
  <c r="AC99" i="5" s="1"/>
  <c r="AC16" i="5"/>
  <c r="AC14" i="5" s="1"/>
  <c r="AC31" i="5" s="1"/>
  <c r="AD84" i="5"/>
  <c r="W54" i="6"/>
  <c r="AB132" i="5"/>
  <c r="AB130" i="5" s="1"/>
  <c r="AB62" i="5"/>
  <c r="Z91" i="8" l="1"/>
  <c r="AB50" i="8"/>
  <c r="AB11" i="8"/>
  <c r="AA48" i="6"/>
  <c r="AB137" i="5"/>
  <c r="AB139" i="5"/>
  <c r="AB141" i="5" s="1"/>
  <c r="AB115" i="6" s="1"/>
  <c r="Z46" i="5"/>
  <c r="Z114" i="5" s="1"/>
  <c r="Z91" i="5"/>
  <c r="Z71" i="6"/>
  <c r="AA81" i="1"/>
  <c r="AC135" i="6"/>
  <c r="Z46" i="8"/>
  <c r="P25" i="19"/>
  <c r="P28" i="19"/>
  <c r="P27" i="19"/>
  <c r="P24" i="19"/>
  <c r="P26" i="19"/>
  <c r="P29" i="19"/>
  <c r="Z93" i="8"/>
  <c r="V29" i="8"/>
  <c r="AD82" i="5"/>
  <c r="AD99" i="5" s="1"/>
  <c r="AD16" i="5"/>
  <c r="AD14" i="5" s="1"/>
  <c r="AD31" i="5" s="1"/>
  <c r="AE84" i="5"/>
  <c r="X55" i="8"/>
  <c r="X56" i="8" s="1"/>
  <c r="X67" i="8" s="1"/>
  <c r="Y138" i="6"/>
  <c r="Y139" i="6" s="1"/>
  <c r="Y72" i="6"/>
  <c r="Z47" i="8" s="1"/>
  <c r="Y45" i="8"/>
  <c r="Y48" i="8" s="1"/>
  <c r="Y54" i="8" s="1"/>
  <c r="Y128" i="6"/>
  <c r="AC92" i="5"/>
  <c r="AC26" i="5"/>
  <c r="AC24" i="5" s="1"/>
  <c r="W33" i="8"/>
  <c r="W37" i="8" s="1"/>
  <c r="M13" i="19"/>
  <c r="M15" i="19"/>
  <c r="M14" i="19"/>
  <c r="M16" i="19"/>
  <c r="M12" i="19"/>
  <c r="M17" i="19"/>
  <c r="Z57" i="6"/>
  <c r="Z59" i="6" s="1"/>
  <c r="Z49" i="6"/>
  <c r="AB69" i="5"/>
  <c r="AB71" i="5" s="1"/>
  <c r="AB73" i="5" s="1"/>
  <c r="Y23" i="5"/>
  <c r="Y21" i="5" s="1"/>
  <c r="Y89" i="5"/>
  <c r="X54" i="6"/>
  <c r="W61" i="6"/>
  <c r="O27" i="19"/>
  <c r="O28" i="19"/>
  <c r="O24" i="19"/>
  <c r="O29" i="19"/>
  <c r="O25" i="19"/>
  <c r="O26" i="19"/>
  <c r="Y93" i="8"/>
  <c r="AC132" i="5"/>
  <c r="AC130" i="5" s="1"/>
  <c r="AC62" i="5"/>
  <c r="Y51" i="6"/>
  <c r="Y53" i="6"/>
  <c r="AA116" i="6"/>
  <c r="AA124" i="6"/>
  <c r="AA126" i="6" s="1"/>
  <c r="AA90" i="8"/>
  <c r="AA88" i="8"/>
  <c r="AA89" i="8"/>
  <c r="AA87" i="8"/>
  <c r="AA30" i="8"/>
  <c r="AD94" i="5"/>
  <c r="AD64" i="5"/>
  <c r="AE75" i="1"/>
  <c r="AD80" i="1"/>
  <c r="AD68" i="6" s="1"/>
  <c r="AM4" i="5"/>
  <c r="AG3" i="16"/>
  <c r="AM4" i="6"/>
  <c r="AG3" i="14"/>
  <c r="AK4" i="18"/>
  <c r="AN4" i="8"/>
  <c r="AD11" i="19" s="1"/>
  <c r="AN4" i="1"/>
  <c r="Z120" i="6"/>
  <c r="Z118" i="6"/>
  <c r="Z121" i="6" s="1"/>
  <c r="AC50" i="8" l="1"/>
  <c r="AC11" i="8"/>
  <c r="AB48" i="6"/>
  <c r="AN4" i="6"/>
  <c r="AH3" i="16"/>
  <c r="AO4" i="8"/>
  <c r="AE11" i="19" s="1"/>
  <c r="AL4" i="18"/>
  <c r="AH3" i="14"/>
  <c r="AN4" i="5"/>
  <c r="AO4" i="1"/>
  <c r="AD92" i="5"/>
  <c r="AD26" i="5"/>
  <c r="AD24" i="5" s="1"/>
  <c r="AC137" i="5"/>
  <c r="AC139" i="5"/>
  <c r="AC141" i="5" s="1"/>
  <c r="AC115" i="6" s="1"/>
  <c r="W62" i="6"/>
  <c r="X10" i="8"/>
  <c r="Z128" i="6"/>
  <c r="AD135" i="6"/>
  <c r="AA91" i="8"/>
  <c r="Z45" i="8"/>
  <c r="Z48" i="8" s="1"/>
  <c r="Z54" i="8" s="1"/>
  <c r="Z51" i="6"/>
  <c r="Z53" i="6"/>
  <c r="AE82" i="5"/>
  <c r="AE99" i="5" s="1"/>
  <c r="AF84" i="5"/>
  <c r="AE16" i="5"/>
  <c r="AE14" i="5" s="1"/>
  <c r="AE31" i="5" s="1"/>
  <c r="AA46" i="5"/>
  <c r="AA114" i="5" s="1"/>
  <c r="AA71" i="6"/>
  <c r="AA91" i="5"/>
  <c r="AB81" i="1"/>
  <c r="AB124" i="6"/>
  <c r="AB126" i="6" s="1"/>
  <c r="AB116" i="6"/>
  <c r="AE94" i="5"/>
  <c r="AE80" i="1"/>
  <c r="AE68" i="6" s="1"/>
  <c r="AE64" i="5"/>
  <c r="AF75" i="1"/>
  <c r="Y54" i="6"/>
  <c r="Y61" i="6" s="1"/>
  <c r="Y55" i="8"/>
  <c r="Y56" i="8" s="1"/>
  <c r="Y67" i="8" s="1"/>
  <c r="AA46" i="8"/>
  <c r="X61" i="6"/>
  <c r="Z138" i="6"/>
  <c r="Z139" i="6" s="1"/>
  <c r="Z72" i="6"/>
  <c r="AA47" i="8" s="1"/>
  <c r="AA57" i="6"/>
  <c r="AA59" i="6" s="1"/>
  <c r="AA49" i="6"/>
  <c r="AD132" i="5"/>
  <c r="AD130" i="5" s="1"/>
  <c r="AD62" i="5"/>
  <c r="AA120" i="6"/>
  <c r="AA118" i="6"/>
  <c r="AA121" i="6" s="1"/>
  <c r="AC69" i="5"/>
  <c r="AC71" i="5" s="1"/>
  <c r="AC73" i="5" s="1"/>
  <c r="L14" i="19"/>
  <c r="V33" i="8"/>
  <c r="V37" i="8" s="1"/>
  <c r="L15" i="19"/>
  <c r="L13" i="19"/>
  <c r="L12" i="19"/>
  <c r="L17" i="19"/>
  <c r="L16" i="19"/>
  <c r="Z23" i="5"/>
  <c r="Z21" i="5" s="1"/>
  <c r="Z89" i="5"/>
  <c r="AB30" i="8"/>
  <c r="AB89" i="8"/>
  <c r="AB90" i="8"/>
  <c r="AB88" i="8"/>
  <c r="AB87" i="8"/>
  <c r="Y62" i="6" l="1"/>
  <c r="Z10" i="8"/>
  <c r="Z29" i="8" s="1"/>
  <c r="AB91" i="8"/>
  <c r="AD137" i="5"/>
  <c r="AD139" i="5" s="1"/>
  <c r="AD141" i="5" s="1"/>
  <c r="AD115" i="6" s="1"/>
  <c r="AE26" i="5"/>
  <c r="AE24" i="5" s="1"/>
  <c r="AE92" i="5"/>
  <c r="AC81" i="1"/>
  <c r="AB46" i="5"/>
  <c r="AB114" i="5" s="1"/>
  <c r="AB91" i="5"/>
  <c r="AB71" i="6"/>
  <c r="Z54" i="6"/>
  <c r="AA51" i="6"/>
  <c r="AA53" i="6"/>
  <c r="X62" i="6"/>
  <c r="Y10" i="8"/>
  <c r="Y29" i="8" s="1"/>
  <c r="AF94" i="5"/>
  <c r="AG75" i="1"/>
  <c r="AF64" i="5"/>
  <c r="AF80" i="1"/>
  <c r="AF68" i="6" s="1"/>
  <c r="AB120" i="6"/>
  <c r="AB118" i="6"/>
  <c r="AB121" i="6" s="1"/>
  <c r="AA23" i="5"/>
  <c r="AA21" i="5" s="1"/>
  <c r="AA89" i="5"/>
  <c r="AF82" i="5"/>
  <c r="AF99" i="5" s="1"/>
  <c r="AF16" i="5"/>
  <c r="AF14" i="5" s="1"/>
  <c r="AF31" i="5" s="1"/>
  <c r="AG84" i="5"/>
  <c r="AC116" i="6"/>
  <c r="AC124" i="6"/>
  <c r="AC126" i="6" s="1"/>
  <c r="AA128" i="6"/>
  <c r="AB46" i="8"/>
  <c r="Z55" i="8"/>
  <c r="AE132" i="5"/>
  <c r="AE130" i="5" s="1"/>
  <c r="AE62" i="5"/>
  <c r="AA138" i="6"/>
  <c r="AA139" i="6" s="1"/>
  <c r="AA72" i="6"/>
  <c r="AB47" i="8" s="1"/>
  <c r="Q24" i="19"/>
  <c r="AA93" i="8"/>
  <c r="Q27" i="19"/>
  <c r="Q26" i="19"/>
  <c r="Q28" i="19"/>
  <c r="Q25" i="19"/>
  <c r="Q29" i="19"/>
  <c r="AB57" i="6"/>
  <c r="AB59" i="6" s="1"/>
  <c r="AB49" i="6"/>
  <c r="AD11" i="8"/>
  <c r="AD50" i="8"/>
  <c r="AC48" i="6"/>
  <c r="AD69" i="5"/>
  <c r="AD71" i="5" s="1"/>
  <c r="AD73" i="5" s="1"/>
  <c r="AE135" i="6"/>
  <c r="AA45" i="8"/>
  <c r="AA48" i="8" s="1"/>
  <c r="AA54" i="8" s="1"/>
  <c r="Z61" i="6"/>
  <c r="Z56" i="8"/>
  <c r="Z67" i="8" s="1"/>
  <c r="X29" i="8"/>
  <c r="AM4" i="18"/>
  <c r="AI3" i="16"/>
  <c r="AO4" i="6"/>
  <c r="AO4" i="5"/>
  <c r="AI3" i="14"/>
  <c r="AP4" i="8"/>
  <c r="AF11" i="19" s="1"/>
  <c r="AP4" i="1"/>
  <c r="AC90" i="8"/>
  <c r="AC88" i="8"/>
  <c r="AC89" i="8"/>
  <c r="AC30" i="8"/>
  <c r="AC87" i="8"/>
  <c r="AC91" i="8" l="1"/>
  <c r="AE11" i="8"/>
  <c r="AE50" i="8"/>
  <c r="AD48" i="6"/>
  <c r="AD30" i="8"/>
  <c r="AD88" i="8"/>
  <c r="AD90" i="8"/>
  <c r="AD87" i="8"/>
  <c r="AD89" i="8"/>
  <c r="AG94" i="5"/>
  <c r="AH75" i="1"/>
  <c r="AG80" i="1"/>
  <c r="AG68" i="6" s="1"/>
  <c r="AG64" i="5"/>
  <c r="AB45" i="8"/>
  <c r="AB48" i="8" s="1"/>
  <c r="AB54" i="8" s="1"/>
  <c r="AB89" i="5"/>
  <c r="AB23" i="5"/>
  <c r="AB21" i="5" s="1"/>
  <c r="S25" i="19"/>
  <c r="S29" i="19"/>
  <c r="S28" i="19"/>
  <c r="S27" i="19"/>
  <c r="S26" i="19"/>
  <c r="S24" i="19"/>
  <c r="AC93" i="8"/>
  <c r="AC57" i="6"/>
  <c r="AC59" i="6" s="1"/>
  <c r="AC49" i="6"/>
  <c r="AQ4" i="8"/>
  <c r="AG11" i="19" s="1"/>
  <c r="AP4" i="5"/>
  <c r="AJ3" i="14"/>
  <c r="AN4" i="18"/>
  <c r="AJ3" i="16"/>
  <c r="AP4" i="6"/>
  <c r="AQ4" i="1"/>
  <c r="Z62" i="6"/>
  <c r="AA10" i="8"/>
  <c r="AA29" i="8" s="1"/>
  <c r="AB51" i="6"/>
  <c r="AB53" i="6"/>
  <c r="AC118" i="6"/>
  <c r="AC121" i="6" s="1"/>
  <c r="AC120" i="6"/>
  <c r="AB128" i="6"/>
  <c r="AF26" i="5"/>
  <c r="AF24" i="5" s="1"/>
  <c r="AF92" i="5"/>
  <c r="AA54" i="6"/>
  <c r="AA61" i="6" s="1"/>
  <c r="AA55" i="8"/>
  <c r="AA56" i="8" s="1"/>
  <c r="AA67" i="8" s="1"/>
  <c r="R28" i="19"/>
  <c r="R27" i="19"/>
  <c r="AB93" i="8"/>
  <c r="R24" i="19"/>
  <c r="R26" i="19"/>
  <c r="R29" i="19"/>
  <c r="R25" i="19"/>
  <c r="AC46" i="8"/>
  <c r="AE69" i="5"/>
  <c r="AE71" i="5" s="1"/>
  <c r="AE73" i="5" s="1"/>
  <c r="AF135" i="6"/>
  <c r="O16" i="19"/>
  <c r="O17" i="19"/>
  <c r="O14" i="19"/>
  <c r="O15" i="19"/>
  <c r="O12" i="19"/>
  <c r="Y33" i="8"/>
  <c r="Y37" i="8" s="1"/>
  <c r="O13" i="19"/>
  <c r="AC71" i="6"/>
  <c r="AC46" i="5"/>
  <c r="AC114" i="5" s="1"/>
  <c r="AD81" i="1"/>
  <c r="AC91" i="5"/>
  <c r="P14" i="19"/>
  <c r="P16" i="19"/>
  <c r="P13" i="19"/>
  <c r="P15" i="19"/>
  <c r="Z33" i="8"/>
  <c r="Z37" i="8" s="1"/>
  <c r="P12" i="19"/>
  <c r="P17" i="19"/>
  <c r="N15" i="19"/>
  <c r="N16" i="19"/>
  <c r="N13" i="19"/>
  <c r="N17" i="19"/>
  <c r="N14" i="19"/>
  <c r="X33" i="8"/>
  <c r="X37" i="8" s="1"/>
  <c r="N12" i="19"/>
  <c r="AE137" i="5"/>
  <c r="AE139" i="5" s="1"/>
  <c r="AE141" i="5" s="1"/>
  <c r="AE115" i="6" s="1"/>
  <c r="AG82" i="5"/>
  <c r="AG99" i="5" s="1"/>
  <c r="AG16" i="5"/>
  <c r="AG14" i="5" s="1"/>
  <c r="AG31" i="5" s="1"/>
  <c r="AH84" i="5"/>
  <c r="AF132" i="5"/>
  <c r="AF130" i="5" s="1"/>
  <c r="AF62" i="5"/>
  <c r="AB138" i="6"/>
  <c r="AB139" i="6" s="1"/>
  <c r="AB72" i="6"/>
  <c r="AC47" i="8" s="1"/>
  <c r="AD124" i="6"/>
  <c r="AD126" i="6" s="1"/>
  <c r="AD116" i="6"/>
  <c r="AD91" i="8" l="1"/>
  <c r="T26" i="19" s="1"/>
  <c r="AA62" i="6"/>
  <c r="AB10" i="8"/>
  <c r="AB29" i="8" s="1"/>
  <c r="AE116" i="6"/>
  <c r="AE124" i="6"/>
  <c r="AE126" i="6" s="1"/>
  <c r="AC138" i="6"/>
  <c r="AC139" i="6" s="1"/>
  <c r="AC72" i="6"/>
  <c r="AD47" i="8" s="1"/>
  <c r="AG135" i="6"/>
  <c r="T25" i="19"/>
  <c r="T28" i="19"/>
  <c r="AD93" i="8"/>
  <c r="T27" i="19"/>
  <c r="T29" i="19"/>
  <c r="AD57" i="6"/>
  <c r="AD59" i="6" s="1"/>
  <c r="AD49" i="6"/>
  <c r="AC23" i="5"/>
  <c r="AC21" i="5" s="1"/>
  <c r="AC89" i="5"/>
  <c r="AB54" i="6"/>
  <c r="AC51" i="6"/>
  <c r="AC53" i="6"/>
  <c r="AH94" i="5"/>
  <c r="AH80" i="1"/>
  <c r="AH68" i="6" s="1"/>
  <c r="AH64" i="5"/>
  <c r="AI75" i="1"/>
  <c r="AF137" i="5"/>
  <c r="AF139" i="5" s="1"/>
  <c r="AF141" i="5" s="1"/>
  <c r="AF115" i="6" s="1"/>
  <c r="AB61" i="6"/>
  <c r="AC45" i="8"/>
  <c r="AC48" i="8" s="1"/>
  <c r="AC54" i="8" s="1"/>
  <c r="AH82" i="5"/>
  <c r="AH99" i="5" s="1"/>
  <c r="AI84" i="5"/>
  <c r="AH16" i="5"/>
  <c r="AH14" i="5" s="1"/>
  <c r="AH31" i="5" s="1"/>
  <c r="AD46" i="5"/>
  <c r="AD114" i="5" s="1"/>
  <c r="AD91" i="5"/>
  <c r="AE81" i="1"/>
  <c r="AD71" i="6"/>
  <c r="AF50" i="8"/>
  <c r="AF11" i="8"/>
  <c r="AE48" i="6"/>
  <c r="AC128" i="6"/>
  <c r="Q15" i="19"/>
  <c r="Q13" i="19"/>
  <c r="AA33" i="8"/>
  <c r="AA37" i="8" s="1"/>
  <c r="Q12" i="19"/>
  <c r="Q16" i="19"/>
  <c r="Q17" i="19"/>
  <c r="Q14" i="19"/>
  <c r="AO4" i="18"/>
  <c r="AQ4" i="5"/>
  <c r="AK3" i="14"/>
  <c r="AQ4" i="6"/>
  <c r="AK3" i="16"/>
  <c r="AR4" i="8"/>
  <c r="AH11" i="19" s="1"/>
  <c r="AR4" i="1"/>
  <c r="AD46" i="8"/>
  <c r="AG92" i="5"/>
  <c r="AG26" i="5"/>
  <c r="AG24" i="5" s="1"/>
  <c r="AE90" i="8"/>
  <c r="AE30" i="8"/>
  <c r="AE88" i="8"/>
  <c r="AE89" i="8"/>
  <c r="AE87" i="8"/>
  <c r="AD120" i="6"/>
  <c r="AD118" i="6"/>
  <c r="AD121" i="6" s="1"/>
  <c r="AF69" i="5"/>
  <c r="AF71" i="5" s="1"/>
  <c r="AF73" i="5" s="1"/>
  <c r="AB55" i="8"/>
  <c r="AB56" i="8" s="1"/>
  <c r="AB67" i="8" s="1"/>
  <c r="AG132" i="5"/>
  <c r="AG130" i="5" s="1"/>
  <c r="AG62" i="5"/>
  <c r="T24" i="19" l="1"/>
  <c r="AG50" i="8"/>
  <c r="AG11" i="8"/>
  <c r="AF48" i="6"/>
  <c r="AG137" i="5"/>
  <c r="AG139" i="5" s="1"/>
  <c r="AG141" i="5" s="1"/>
  <c r="AG115" i="6" s="1"/>
  <c r="AS4" i="8"/>
  <c r="AI11" i="19" s="1"/>
  <c r="AR4" i="6"/>
  <c r="AR4" i="5"/>
  <c r="AL3" i="14"/>
  <c r="AP4" i="18"/>
  <c r="AL3" i="16"/>
  <c r="AS4" i="1"/>
  <c r="AE57" i="6"/>
  <c r="AE59" i="6" s="1"/>
  <c r="AE49" i="6"/>
  <c r="AE46" i="5"/>
  <c r="AE114" i="5" s="1"/>
  <c r="AE91" i="5"/>
  <c r="AE71" i="6"/>
  <c r="AF81" i="1"/>
  <c r="AH132" i="5"/>
  <c r="AH130" i="5" s="1"/>
  <c r="AH62" i="5"/>
  <c r="AC55" i="8"/>
  <c r="AC56" i="8" s="1"/>
  <c r="AC67" i="8" s="1"/>
  <c r="AE46" i="8"/>
  <c r="AE118" i="6"/>
  <c r="AE121" i="6" s="1"/>
  <c r="AE120" i="6"/>
  <c r="AF89" i="8"/>
  <c r="AF88" i="8"/>
  <c r="AF30" i="8"/>
  <c r="AF90" i="8"/>
  <c r="AF87" i="8"/>
  <c r="AD89" i="5"/>
  <c r="AD23" i="5"/>
  <c r="AD21" i="5" s="1"/>
  <c r="AB62" i="6"/>
  <c r="AC10" i="8"/>
  <c r="AC29" i="8" s="1"/>
  <c r="AF124" i="6"/>
  <c r="AF126" i="6" s="1"/>
  <c r="AF116" i="6"/>
  <c r="AH135" i="6"/>
  <c r="AC54" i="6"/>
  <c r="AC61" i="6" s="1"/>
  <c r="AD128" i="6"/>
  <c r="AI82" i="5"/>
  <c r="AI99" i="5" s="1"/>
  <c r="AI16" i="5"/>
  <c r="AI14" i="5" s="1"/>
  <c r="AI31" i="5" s="1"/>
  <c r="AH26" i="5"/>
  <c r="AH24" i="5" s="1"/>
  <c r="AH92" i="5"/>
  <c r="R13" i="19"/>
  <c r="AB33" i="8"/>
  <c r="AB37" i="8" s="1"/>
  <c r="R17" i="19"/>
  <c r="R16" i="19"/>
  <c r="R15" i="19"/>
  <c r="R12" i="19"/>
  <c r="R14" i="19"/>
  <c r="AG69" i="5"/>
  <c r="AG71" i="5" s="1"/>
  <c r="AG73" i="5" s="1"/>
  <c r="AE91" i="8"/>
  <c r="AD138" i="6"/>
  <c r="AD139" i="6" s="1"/>
  <c r="AD72" i="6"/>
  <c r="AE47" i="8" s="1"/>
  <c r="AJ75" i="1"/>
  <c r="AI94" i="5"/>
  <c r="AI80" i="1"/>
  <c r="AI68" i="6" s="1"/>
  <c r="AI64" i="5"/>
  <c r="AD45" i="8"/>
  <c r="AD48" i="8" s="1"/>
  <c r="AD54" i="8" s="1"/>
  <c r="AD51" i="6"/>
  <c r="AD53" i="6"/>
  <c r="AG124" i="6" l="1"/>
  <c r="AG126" i="6" s="1"/>
  <c r="AG116" i="6"/>
  <c r="AH50" i="8"/>
  <c r="AH11" i="8"/>
  <c r="AG48" i="6"/>
  <c r="AI132" i="5"/>
  <c r="AI130" i="5" s="1"/>
  <c r="AI62" i="5"/>
  <c r="AI72" i="6"/>
  <c r="AJ47" i="8" s="1"/>
  <c r="AI135" i="6"/>
  <c r="AI139" i="6" s="1"/>
  <c r="AI92" i="5"/>
  <c r="AI26" i="5"/>
  <c r="AI24" i="5" s="1"/>
  <c r="AE93" i="8"/>
  <c r="U24" i="19"/>
  <c r="U29" i="19"/>
  <c r="U26" i="19"/>
  <c r="U25" i="19"/>
  <c r="U28" i="19"/>
  <c r="U27" i="19"/>
  <c r="AD55" i="8"/>
  <c r="AD56" i="8" s="1"/>
  <c r="AD67" i="8" s="1"/>
  <c r="S13" i="19"/>
  <c r="S16" i="19"/>
  <c r="S12" i="19"/>
  <c r="S17" i="19"/>
  <c r="S14" i="19"/>
  <c r="AC33" i="8"/>
  <c r="AC37" i="8" s="1"/>
  <c r="S15" i="19"/>
  <c r="AF91" i="8"/>
  <c r="AG81" i="1"/>
  <c r="AF46" i="5"/>
  <c r="AF114" i="5" s="1"/>
  <c r="AF91" i="5"/>
  <c r="AF71" i="6"/>
  <c r="AE51" i="6"/>
  <c r="AE53" i="6"/>
  <c r="AM3" i="16"/>
  <c r="AQ4" i="18"/>
  <c r="AM3" i="14"/>
  <c r="AS4" i="6"/>
  <c r="AS4" i="5"/>
  <c r="AT4" i="8"/>
  <c r="AJ11" i="19" s="1"/>
  <c r="AT4" i="1"/>
  <c r="AC62" i="6"/>
  <c r="AD10" i="8"/>
  <c r="AD29" i="8" s="1"/>
  <c r="AE45" i="8"/>
  <c r="AE48" i="8" s="1"/>
  <c r="AE54" i="8" s="1"/>
  <c r="AJ64" i="5"/>
  <c r="AJ80" i="1"/>
  <c r="AJ68" i="6" s="1"/>
  <c r="AK75" i="1"/>
  <c r="AF120" i="6"/>
  <c r="AF118" i="6"/>
  <c r="AF121" i="6" s="1"/>
  <c r="AE128" i="6"/>
  <c r="AH69" i="5"/>
  <c r="AH71" i="5"/>
  <c r="AH73" i="5" s="1"/>
  <c r="AE138" i="6"/>
  <c r="AE139" i="6" s="1"/>
  <c r="AE72" i="6"/>
  <c r="AF47" i="8" s="1"/>
  <c r="AF57" i="6"/>
  <c r="AF59" i="6" s="1"/>
  <c r="AF49" i="6"/>
  <c r="AD54" i="6"/>
  <c r="AD61" i="6" s="1"/>
  <c r="AH137" i="5"/>
  <c r="AH139" i="5" s="1"/>
  <c r="AH141" i="5" s="1"/>
  <c r="AH115" i="6" s="1"/>
  <c r="AE89" i="5"/>
  <c r="AE23" i="5"/>
  <c r="AE21" i="5" s="1"/>
  <c r="AF46" i="8"/>
  <c r="AG88" i="8"/>
  <c r="AG89" i="8"/>
  <c r="AG30" i="8"/>
  <c r="AG90" i="8"/>
  <c r="AG87" i="8"/>
  <c r="F225" i="21"/>
  <c r="H225" i="21"/>
  <c r="I225" i="21" s="1"/>
  <c r="F223" i="21" l="1"/>
  <c r="H223" i="21"/>
  <c r="I223" i="21" s="1"/>
  <c r="F219" i="21"/>
  <c r="H219" i="21"/>
  <c r="I219" i="21" s="1"/>
  <c r="F215" i="21"/>
  <c r="H215" i="21"/>
  <c r="I215" i="21" s="1"/>
  <c r="H211" i="21"/>
  <c r="I211" i="21" s="1"/>
  <c r="F211" i="21"/>
  <c r="H222" i="21"/>
  <c r="I222" i="21" s="1"/>
  <c r="F222" i="21"/>
  <c r="H218" i="21"/>
  <c r="I218" i="21" s="1"/>
  <c r="F218" i="21"/>
  <c r="F214" i="21"/>
  <c r="H214" i="21"/>
  <c r="I214" i="21" s="1"/>
  <c r="F210" i="21"/>
  <c r="H210" i="21"/>
  <c r="I210" i="21" s="1"/>
  <c r="H221" i="21"/>
  <c r="I221" i="21" s="1"/>
  <c r="F221" i="21"/>
  <c r="F217" i="21"/>
  <c r="H217" i="21"/>
  <c r="I217" i="21" s="1"/>
  <c r="F213" i="21"/>
  <c r="H213" i="21"/>
  <c r="I213" i="21" s="1"/>
  <c r="H209" i="21"/>
  <c r="I209" i="21" s="1"/>
  <c r="F209" i="21"/>
  <c r="F224" i="21"/>
  <c r="H224" i="21"/>
  <c r="I224" i="21" s="1"/>
  <c r="F220" i="21"/>
  <c r="H220" i="21"/>
  <c r="I220" i="21" s="1"/>
  <c r="F216" i="21"/>
  <c r="H216" i="21"/>
  <c r="I216" i="21" s="1"/>
  <c r="H212" i="21"/>
  <c r="I212" i="21" s="1"/>
  <c r="F212" i="21"/>
  <c r="H208" i="21"/>
  <c r="I208" i="21" s="1"/>
  <c r="F208" i="21"/>
  <c r="AG91" i="8"/>
  <c r="AD62" i="6"/>
  <c r="AE10" i="8"/>
  <c r="AE29" i="8" s="1"/>
  <c r="AF51" i="6"/>
  <c r="AF53" i="6"/>
  <c r="AK64" i="5"/>
  <c r="AL75" i="1"/>
  <c r="AK80" i="1"/>
  <c r="AK68" i="6" s="1"/>
  <c r="AN3" i="16"/>
  <c r="AU4" i="1"/>
  <c r="AN3" i="14"/>
  <c r="AF45" i="8"/>
  <c r="AF48" i="8" s="1"/>
  <c r="AF54" i="8" s="1"/>
  <c r="AI69" i="5"/>
  <c r="AI71" i="5" s="1"/>
  <c r="AI73" i="5" s="1"/>
  <c r="AE55" i="8"/>
  <c r="AG46" i="8"/>
  <c r="AJ72" i="6"/>
  <c r="AK47" i="8" s="1"/>
  <c r="AJ135" i="6"/>
  <c r="AJ139" i="6" s="1"/>
  <c r="AE54" i="6"/>
  <c r="AG46" i="5"/>
  <c r="AG114" i="5" s="1"/>
  <c r="AG91" i="5"/>
  <c r="AH81" i="1"/>
  <c r="AG71" i="6"/>
  <c r="AI137" i="5"/>
  <c r="AI139" i="5"/>
  <c r="AI141" i="5" s="1"/>
  <c r="AI115" i="6" s="1"/>
  <c r="AG118" i="6"/>
  <c r="AG121" i="6" s="1"/>
  <c r="AG120" i="6"/>
  <c r="AI50" i="8"/>
  <c r="AI11" i="8"/>
  <c r="AH48" i="6"/>
  <c r="AJ132" i="5"/>
  <c r="AJ130" i="5" s="1"/>
  <c r="AJ62" i="5"/>
  <c r="T14" i="19"/>
  <c r="T15" i="19"/>
  <c r="T12" i="19"/>
  <c r="T17" i="19"/>
  <c r="T16" i="19"/>
  <c r="AD33" i="8"/>
  <c r="AD37" i="8" s="1"/>
  <c r="T13" i="19"/>
  <c r="AF138" i="6"/>
  <c r="AF139" i="6" s="1"/>
  <c r="AF72" i="6"/>
  <c r="AG47" i="8" s="1"/>
  <c r="V29" i="19"/>
  <c r="V26" i="19"/>
  <c r="V27" i="19"/>
  <c r="V24" i="19"/>
  <c r="V28" i="19"/>
  <c r="AF93" i="8"/>
  <c r="V25" i="19"/>
  <c r="AG57" i="6"/>
  <c r="AG59" i="6" s="1"/>
  <c r="AG49" i="6"/>
  <c r="AG93" i="8"/>
  <c r="W27" i="19"/>
  <c r="W29" i="19"/>
  <c r="W25" i="19"/>
  <c r="W24" i="19"/>
  <c r="W28" i="19"/>
  <c r="W26" i="19"/>
  <c r="F226" i="21"/>
  <c r="H226" i="21"/>
  <c r="I226" i="21" s="1"/>
  <c r="AH116" i="6"/>
  <c r="AH124" i="6"/>
  <c r="AH126" i="6" s="1"/>
  <c r="AF128" i="6"/>
  <c r="AE56" i="8"/>
  <c r="AE67" i="8" s="1"/>
  <c r="AF23" i="5"/>
  <c r="AF21" i="5" s="1"/>
  <c r="AF89" i="5"/>
  <c r="AH89" i="8"/>
  <c r="AH88" i="8"/>
  <c r="AH90" i="8"/>
  <c r="AH30" i="8"/>
  <c r="AH87" i="8"/>
  <c r="AH91" i="8" l="1"/>
  <c r="AH120" i="6"/>
  <c r="AH118" i="6"/>
  <c r="AH121" i="6" s="1"/>
  <c r="AH46" i="8"/>
  <c r="AJ137" i="5"/>
  <c r="AJ139" i="5" s="1"/>
  <c r="AJ141" i="5" s="1"/>
  <c r="AJ115" i="6" s="1"/>
  <c r="AG128" i="6"/>
  <c r="AG138" i="6"/>
  <c r="AG139" i="6" s="1"/>
  <c r="AG72" i="6"/>
  <c r="AH47" i="8" s="1"/>
  <c r="AG45" i="8"/>
  <c r="AG48" i="8" s="1"/>
  <c r="AG54" i="8" s="1"/>
  <c r="AH57" i="6"/>
  <c r="AH59" i="6" s="1"/>
  <c r="AH49" i="6"/>
  <c r="AH71" i="6"/>
  <c r="AH91" i="5"/>
  <c r="AH46" i="5"/>
  <c r="AH114" i="5" s="1"/>
  <c r="AF55" i="8"/>
  <c r="AF56" i="8" s="1"/>
  <c r="AF67" i="8" s="1"/>
  <c r="AJ50" i="8"/>
  <c r="AJ11" i="8"/>
  <c r="AI48" i="6"/>
  <c r="AK72" i="6"/>
  <c r="AL47" i="8" s="1"/>
  <c r="AK135" i="6"/>
  <c r="AK139" i="6" s="1"/>
  <c r="AF54" i="6"/>
  <c r="AI90" i="8"/>
  <c r="AI87" i="8"/>
  <c r="AI89" i="8"/>
  <c r="AI30" i="8"/>
  <c r="AI88" i="8"/>
  <c r="AI116" i="6"/>
  <c r="AI124" i="6"/>
  <c r="AI126" i="6" s="1"/>
  <c r="AG89" i="5"/>
  <c r="AG23" i="5"/>
  <c r="AG21" i="5" s="1"/>
  <c r="AL64" i="5"/>
  <c r="AL80" i="1"/>
  <c r="AL68" i="6" s="1"/>
  <c r="AM75" i="1"/>
  <c r="U12" i="19"/>
  <c r="U13" i="19"/>
  <c r="U17" i="19"/>
  <c r="U16" i="19"/>
  <c r="U15" i="19"/>
  <c r="AE33" i="8"/>
  <c r="AE37" i="8" s="1"/>
  <c r="U14" i="19"/>
  <c r="AG51" i="6"/>
  <c r="AG53" i="6"/>
  <c r="AJ69" i="5"/>
  <c r="AE61" i="6"/>
  <c r="AO3" i="14"/>
  <c r="AV4" i="1"/>
  <c r="AO3" i="16"/>
  <c r="AK132" i="5"/>
  <c r="AK130" i="5" s="1"/>
  <c r="AK62" i="5"/>
  <c r="AJ71" i="5" l="1"/>
  <c r="AJ73" i="5" s="1"/>
  <c r="AK51" i="8"/>
  <c r="AK137" i="5"/>
  <c r="AK139" i="5" s="1"/>
  <c r="AK141" i="5" s="1"/>
  <c r="AK115" i="6" s="1"/>
  <c r="AE62" i="6"/>
  <c r="AF10" i="8"/>
  <c r="AF29" i="8" s="1"/>
  <c r="AG54" i="6"/>
  <c r="AG61" i="6" s="1"/>
  <c r="AM64" i="5"/>
  <c r="AM80" i="1"/>
  <c r="AM68" i="6" s="1"/>
  <c r="AN75" i="1"/>
  <c r="AG55" i="8"/>
  <c r="AG56" i="8" s="1"/>
  <c r="AG67" i="8" s="1"/>
  <c r="AH138" i="6"/>
  <c r="AH139" i="6" s="1"/>
  <c r="AH72" i="6"/>
  <c r="AI47" i="8" s="1"/>
  <c r="AL72" i="6"/>
  <c r="AM47" i="8" s="1"/>
  <c r="AL135" i="6"/>
  <c r="AL139" i="6" s="1"/>
  <c r="AI57" i="6"/>
  <c r="AI59" i="6" s="1"/>
  <c r="AJ46" i="8" s="1"/>
  <c r="AI49" i="6"/>
  <c r="AH51" i="6"/>
  <c r="AH53" i="6"/>
  <c r="AJ124" i="6"/>
  <c r="AJ126" i="6" s="1"/>
  <c r="AJ116" i="6"/>
  <c r="AP3" i="14"/>
  <c r="AW4" i="1"/>
  <c r="AP3" i="16"/>
  <c r="AI120" i="6"/>
  <c r="AI118" i="6"/>
  <c r="AI121" i="6" s="1"/>
  <c r="AJ89" i="8"/>
  <c r="AJ90" i="8"/>
  <c r="AJ88" i="8"/>
  <c r="AJ87" i="8"/>
  <c r="AJ30" i="8"/>
  <c r="AI46" i="8"/>
  <c r="AF61" i="6"/>
  <c r="AH128" i="6"/>
  <c r="AK50" i="8"/>
  <c r="AK52" i="8" s="1"/>
  <c r="AK11" i="8"/>
  <c r="AJ48" i="6"/>
  <c r="AL62" i="5"/>
  <c r="AL132" i="5"/>
  <c r="AL130" i="5" s="1"/>
  <c r="AI91" i="8"/>
  <c r="AK69" i="5"/>
  <c r="AH45" i="8"/>
  <c r="AH48" i="8" s="1"/>
  <c r="AH54" i="8" s="1"/>
  <c r="AH23" i="5"/>
  <c r="AH21" i="5" s="1"/>
  <c r="AH89" i="5"/>
  <c r="X25" i="19"/>
  <c r="X27" i="19"/>
  <c r="AH93" i="8"/>
  <c r="X26" i="19"/>
  <c r="X28" i="19"/>
  <c r="X29" i="19"/>
  <c r="X24" i="19"/>
  <c r="AK71" i="5" l="1"/>
  <c r="AK73" i="5" s="1"/>
  <c r="AL11" i="8" s="1"/>
  <c r="AL51" i="8"/>
  <c r="AJ91" i="8"/>
  <c r="AL50" i="8"/>
  <c r="AL52" i="8" s="1"/>
  <c r="AK48" i="6"/>
  <c r="Y27" i="19"/>
  <c r="Y25" i="19"/>
  <c r="Y29" i="19"/>
  <c r="Y28" i="19"/>
  <c r="Y26" i="19"/>
  <c r="AI93" i="8"/>
  <c r="Y24" i="19"/>
  <c r="AL69" i="5"/>
  <c r="AH54" i="6"/>
  <c r="AM62" i="5"/>
  <c r="AM132" i="5"/>
  <c r="AM130" i="5" s="1"/>
  <c r="V12" i="19"/>
  <c r="V15" i="19"/>
  <c r="V16" i="19"/>
  <c r="AF33" i="8"/>
  <c r="AF37" i="8" s="1"/>
  <c r="V17" i="19"/>
  <c r="V14" i="19"/>
  <c r="V13" i="19"/>
  <c r="AJ57" i="6"/>
  <c r="AJ59" i="6" s="1"/>
  <c r="AJ49" i="6"/>
  <c r="AQ3" i="16"/>
  <c r="AQ3" i="14"/>
  <c r="AX4" i="1"/>
  <c r="AI51" i="6"/>
  <c r="AI53" i="6"/>
  <c r="AG62" i="6"/>
  <c r="AH10" i="8"/>
  <c r="AH29" i="8" s="1"/>
  <c r="AF62" i="6"/>
  <c r="AG10" i="8"/>
  <c r="AG29" i="8" s="1"/>
  <c r="Z25" i="19"/>
  <c r="Z24" i="19"/>
  <c r="Z27" i="19"/>
  <c r="Z26" i="19"/>
  <c r="Z29" i="19"/>
  <c r="AJ93" i="8"/>
  <c r="Z28" i="19"/>
  <c r="AN64" i="5"/>
  <c r="AN80" i="1"/>
  <c r="AN68" i="6" s="1"/>
  <c r="AO75" i="1"/>
  <c r="AH55" i="8"/>
  <c r="AH56" i="8" s="1"/>
  <c r="AH67" i="8" s="1"/>
  <c r="AK116" i="6"/>
  <c r="AK124" i="6"/>
  <c r="AK126" i="6" s="1"/>
  <c r="AK87" i="8"/>
  <c r="AK88" i="8"/>
  <c r="AK30" i="8"/>
  <c r="AK89" i="8"/>
  <c r="AK90" i="8"/>
  <c r="AL137" i="5"/>
  <c r="AL139" i="5" s="1"/>
  <c r="AL141" i="5" s="1"/>
  <c r="AL115" i="6" s="1"/>
  <c r="AI128" i="6"/>
  <c r="AJ118" i="6"/>
  <c r="AJ121" i="6" s="1"/>
  <c r="AJ120" i="6"/>
  <c r="AH61" i="6"/>
  <c r="AI45" i="8"/>
  <c r="AI48" i="8" s="1"/>
  <c r="AI54" i="8" s="1"/>
  <c r="AM72" i="6"/>
  <c r="AN47" i="8" s="1"/>
  <c r="AM135" i="6"/>
  <c r="AM139" i="6" s="1"/>
  <c r="AL71" i="5" l="1"/>
  <c r="AL73" i="5" s="1"/>
  <c r="AM51" i="8"/>
  <c r="AK46" i="8"/>
  <c r="AJ128" i="6"/>
  <c r="AL124" i="6"/>
  <c r="AL126" i="6" s="1"/>
  <c r="AL116" i="6"/>
  <c r="AH62" i="6"/>
  <c r="AI10" i="8"/>
  <c r="AI29" i="8" s="1"/>
  <c r="AK118" i="6"/>
  <c r="AK121" i="6" s="1"/>
  <c r="AK120" i="6"/>
  <c r="AK128" i="6" s="1"/>
  <c r="AN72" i="6"/>
  <c r="AO47" i="8" s="1"/>
  <c r="AN135" i="6"/>
  <c r="AN139" i="6" s="1"/>
  <c r="E153" i="21"/>
  <c r="AI54" i="6"/>
  <c r="AJ55" i="8" s="1"/>
  <c r="AJ51" i="6"/>
  <c r="AJ53" i="6"/>
  <c r="AM69" i="5"/>
  <c r="E156" i="21"/>
  <c r="X14" i="19"/>
  <c r="X13" i="19"/>
  <c r="AH33" i="8"/>
  <c r="AH37" i="8" s="1"/>
  <c r="X12" i="19"/>
  <c r="X15" i="19"/>
  <c r="X16" i="19"/>
  <c r="X17" i="19"/>
  <c r="AR3" i="14"/>
  <c r="AY4" i="1"/>
  <c r="AR3" i="16"/>
  <c r="AI55" i="8"/>
  <c r="AI56" i="8" s="1"/>
  <c r="AI67" i="8" s="1"/>
  <c r="AM11" i="8"/>
  <c r="AM50" i="8"/>
  <c r="AM52" i="8" s="1"/>
  <c r="AL48" i="6"/>
  <c r="AL87" i="8"/>
  <c r="AL88" i="8"/>
  <c r="AL30" i="8"/>
  <c r="AL90" i="8"/>
  <c r="AL89" i="8"/>
  <c r="AN62" i="5"/>
  <c r="AN132" i="5"/>
  <c r="AN130" i="5" s="1"/>
  <c r="AK91" i="8"/>
  <c r="E158" i="21"/>
  <c r="E157" i="21"/>
  <c r="AK57" i="6"/>
  <c r="AK59" i="6" s="1"/>
  <c r="AL46" i="8" s="1"/>
  <c r="AK49" i="6"/>
  <c r="AO64" i="5"/>
  <c r="AP75" i="1"/>
  <c r="AO80" i="1"/>
  <c r="AO68" i="6" s="1"/>
  <c r="E155" i="21"/>
  <c r="E154" i="21"/>
  <c r="W15" i="19"/>
  <c r="W12" i="19"/>
  <c r="AG33" i="8"/>
  <c r="AG37" i="8" s="1"/>
  <c r="W17" i="19"/>
  <c r="W14" i="19"/>
  <c r="W16" i="19"/>
  <c r="W13" i="19"/>
  <c r="AJ45" i="8"/>
  <c r="AJ48" i="8" s="1"/>
  <c r="AJ54" i="8" s="1"/>
  <c r="AJ56" i="8" s="1"/>
  <c r="AJ67" i="8" s="1"/>
  <c r="AI61" i="6"/>
  <c r="AM137" i="5"/>
  <c r="AM139" i="5" s="1"/>
  <c r="AM141" i="5" s="1"/>
  <c r="AM115" i="6" s="1"/>
  <c r="AM71" i="5" l="1"/>
  <c r="AM73" i="5" s="1"/>
  <c r="AN50" i="8" s="1"/>
  <c r="AN52" i="8" s="1"/>
  <c r="AN51" i="8"/>
  <c r="AM124" i="6"/>
  <c r="AM126" i="6" s="1"/>
  <c r="AM116" i="6"/>
  <c r="AO72" i="6"/>
  <c r="AP47" i="8" s="1"/>
  <c r="AO135" i="6"/>
  <c r="AO139" i="6" s="1"/>
  <c r="AN137" i="5"/>
  <c r="AN139" i="5" s="1"/>
  <c r="AN141" i="5" s="1"/>
  <c r="AN115" i="6" s="1"/>
  <c r="Y13" i="19"/>
  <c r="Y15" i="19"/>
  <c r="Y17" i="19"/>
  <c r="Y14" i="19"/>
  <c r="Y12" i="19"/>
  <c r="AI33" i="8"/>
  <c r="AI37" i="8" s="1"/>
  <c r="Y16" i="19"/>
  <c r="AP64" i="5"/>
  <c r="AP80" i="1"/>
  <c r="AP68" i="6" s="1"/>
  <c r="AQ75" i="1"/>
  <c r="AN69" i="5"/>
  <c r="AM88" i="8"/>
  <c r="AM30" i="8"/>
  <c r="AM89" i="8"/>
  <c r="AM90" i="8"/>
  <c r="AM87" i="8"/>
  <c r="AS3" i="16"/>
  <c r="AS3" i="14"/>
  <c r="AO62" i="5"/>
  <c r="AO132" i="5"/>
  <c r="AO130" i="5" s="1"/>
  <c r="AA24" i="19"/>
  <c r="AA27" i="19"/>
  <c r="AA26" i="19"/>
  <c r="AA28" i="19"/>
  <c r="AK93" i="8"/>
  <c r="AA25" i="19"/>
  <c r="AA29" i="19"/>
  <c r="AL91" i="8"/>
  <c r="AK45" i="8"/>
  <c r="AK48" i="8" s="1"/>
  <c r="AK54" i="8" s="1"/>
  <c r="AL120" i="6"/>
  <c r="AL118" i="6"/>
  <c r="AL121" i="6" s="1"/>
  <c r="AI62" i="6"/>
  <c r="AJ10" i="8"/>
  <c r="AJ29" i="8" s="1"/>
  <c r="AK51" i="6"/>
  <c r="AK53" i="6"/>
  <c r="AL49" i="6"/>
  <c r="AL57" i="6"/>
  <c r="AL59" i="6" s="1"/>
  <c r="AM46" i="8" s="1"/>
  <c r="AJ54" i="6"/>
  <c r="AN71" i="5" l="1"/>
  <c r="AN73" i="5" s="1"/>
  <c r="AO51" i="8"/>
  <c r="AM48" i="6"/>
  <c r="AK55" i="8"/>
  <c r="AN11" i="8"/>
  <c r="AL128" i="6"/>
  <c r="AN116" i="6"/>
  <c r="AN124" i="6"/>
  <c r="AN126" i="6" s="1"/>
  <c r="AL51" i="6"/>
  <c r="AL53" i="6"/>
  <c r="Z13" i="19"/>
  <c r="Z14" i="19"/>
  <c r="Z12" i="19"/>
  <c r="Z17" i="19"/>
  <c r="Z16" i="19"/>
  <c r="AJ33" i="8"/>
  <c r="AJ37" i="8" s="1"/>
  <c r="Z15" i="19"/>
  <c r="AJ61" i="6"/>
  <c r="AK10" i="8" s="1"/>
  <c r="AK29" i="8" s="1"/>
  <c r="AO50" i="8"/>
  <c r="AO52" i="8" s="1"/>
  <c r="AO11" i="8"/>
  <c r="AN48" i="6"/>
  <c r="AK56" i="8"/>
  <c r="AK67" i="8" s="1"/>
  <c r="AQ64" i="5"/>
  <c r="AQ80" i="1"/>
  <c r="AQ68" i="6" s="1"/>
  <c r="AR75" i="1"/>
  <c r="AM49" i="6"/>
  <c r="AM57" i="6"/>
  <c r="AM59" i="6" s="1"/>
  <c r="AN46" i="8" s="1"/>
  <c r="AL45" i="8"/>
  <c r="AL48" i="8" s="1"/>
  <c r="AL54" i="8" s="1"/>
  <c r="AB29" i="19"/>
  <c r="AL93" i="8"/>
  <c r="AB24" i="19"/>
  <c r="AB28" i="19"/>
  <c r="AB25" i="19"/>
  <c r="AB26" i="19"/>
  <c r="AB27" i="19"/>
  <c r="AO137" i="5"/>
  <c r="AO139" i="5" s="1"/>
  <c r="AO141" i="5" s="1"/>
  <c r="AO115" i="6" s="1"/>
  <c r="AM91" i="8"/>
  <c r="AP72" i="6"/>
  <c r="AQ47" i="8" s="1"/>
  <c r="AP135" i="6"/>
  <c r="AP139" i="6" s="1"/>
  <c r="AN87" i="8"/>
  <c r="AN90" i="8"/>
  <c r="AN30" i="8"/>
  <c r="AN88" i="8"/>
  <c r="AN89" i="8"/>
  <c r="AK54" i="6"/>
  <c r="AL55" i="8" s="1"/>
  <c r="AO69" i="5"/>
  <c r="AP132" i="5"/>
  <c r="AP130" i="5" s="1"/>
  <c r="AP62" i="5"/>
  <c r="AM118" i="6"/>
  <c r="AM121" i="6" s="1"/>
  <c r="AM120" i="6"/>
  <c r="AO71" i="5" l="1"/>
  <c r="AO73" i="5" s="1"/>
  <c r="AP51" i="8"/>
  <c r="AO116" i="6"/>
  <c r="AO124" i="6"/>
  <c r="AO126" i="6" s="1"/>
  <c r="AL56" i="8"/>
  <c r="AL67" i="8" s="1"/>
  <c r="AA13" i="19"/>
  <c r="AA12" i="19"/>
  <c r="AA15" i="19"/>
  <c r="AA14" i="19"/>
  <c r="AA17" i="19"/>
  <c r="AK33" i="8"/>
  <c r="AK37" i="8" s="1"/>
  <c r="AA16" i="19"/>
  <c r="AM45" i="8"/>
  <c r="AM48" i="8" s="1"/>
  <c r="AM54" i="8" s="1"/>
  <c r="AK61" i="6"/>
  <c r="AL10" i="8" s="1"/>
  <c r="AL29" i="8" s="1"/>
  <c r="AR64" i="5"/>
  <c r="AR80" i="1"/>
  <c r="AR68" i="6" s="1"/>
  <c r="AS75" i="1"/>
  <c r="AN57" i="6"/>
  <c r="AN59" i="6" s="1"/>
  <c r="AO46" i="8" s="1"/>
  <c r="AN49" i="6"/>
  <c r="AL54" i="6"/>
  <c r="AM55" i="8" s="1"/>
  <c r="AP11" i="8"/>
  <c r="AP50" i="8"/>
  <c r="AP52" i="8" s="1"/>
  <c r="AO48" i="6"/>
  <c r="AC24" i="19"/>
  <c r="AC29" i="19"/>
  <c r="AC26" i="19"/>
  <c r="AC25" i="19"/>
  <c r="AC28" i="19"/>
  <c r="AM93" i="8"/>
  <c r="AC27" i="19"/>
  <c r="AQ72" i="6"/>
  <c r="AR47" i="8" s="1"/>
  <c r="AQ135" i="6"/>
  <c r="AQ139" i="6" s="1"/>
  <c r="AO89" i="8"/>
  <c r="AO30" i="8"/>
  <c r="AO88" i="8"/>
  <c r="AO90" i="8"/>
  <c r="AO87" i="8"/>
  <c r="AP69" i="5"/>
  <c r="AP137" i="5"/>
  <c r="AP139" i="5" s="1"/>
  <c r="AP141" i="5" s="1"/>
  <c r="AP115" i="6" s="1"/>
  <c r="AM128" i="6"/>
  <c r="AN91" i="8"/>
  <c r="AM51" i="6"/>
  <c r="AM53" i="6"/>
  <c r="AQ62" i="5"/>
  <c r="AQ132" i="5"/>
  <c r="AQ130" i="5" s="1"/>
  <c r="AN118" i="6"/>
  <c r="AN121" i="6" s="1"/>
  <c r="AN120" i="6"/>
  <c r="AP71" i="5" l="1"/>
  <c r="AP73" i="5" s="1"/>
  <c r="AQ11" i="8" s="1"/>
  <c r="AQ51" i="8"/>
  <c r="AM56" i="8"/>
  <c r="AM67" i="8" s="1"/>
  <c r="AP124" i="6"/>
  <c r="AP126" i="6" s="1"/>
  <c r="AP116" i="6"/>
  <c r="AP48" i="6"/>
  <c r="AO49" i="6"/>
  <c r="AO57" i="6"/>
  <c r="AO59" i="6" s="1"/>
  <c r="AP46" i="8" s="1"/>
  <c r="AS64" i="5"/>
  <c r="AS80" i="1"/>
  <c r="AS68" i="6" s="1"/>
  <c r="AT75" i="1"/>
  <c r="AN53" i="6"/>
  <c r="AN51" i="6"/>
  <c r="AR72" i="6"/>
  <c r="AS47" i="8" s="1"/>
  <c r="AR135" i="6"/>
  <c r="AR139" i="6" s="1"/>
  <c r="AL61" i="6"/>
  <c r="AM10" i="8" s="1"/>
  <c r="AM29" i="8" s="1"/>
  <c r="AD24" i="19"/>
  <c r="AD27" i="19"/>
  <c r="AD26" i="19"/>
  <c r="AD28" i="19"/>
  <c r="AN93" i="8"/>
  <c r="AD25" i="19"/>
  <c r="AD29" i="19"/>
  <c r="AQ69" i="5"/>
  <c r="AN128" i="6"/>
  <c r="AN45" i="8"/>
  <c r="AN48" i="8" s="1"/>
  <c r="AN54" i="8" s="1"/>
  <c r="AO91" i="8"/>
  <c r="AP87" i="8"/>
  <c r="AP89" i="8"/>
  <c r="AP30" i="8"/>
  <c r="AP90" i="8"/>
  <c r="AP88" i="8"/>
  <c r="AR132" i="5"/>
  <c r="AR130" i="5" s="1"/>
  <c r="AR62" i="5"/>
  <c r="AQ137" i="5"/>
  <c r="AQ139" i="5" s="1"/>
  <c r="AQ141" i="5" s="1"/>
  <c r="AQ115" i="6" s="1"/>
  <c r="AM54" i="6"/>
  <c r="AN55" i="8" s="1"/>
  <c r="AB12" i="19"/>
  <c r="AB13" i="19"/>
  <c r="AB14" i="19"/>
  <c r="AB15" i="19"/>
  <c r="AB16" i="19"/>
  <c r="AL33" i="8"/>
  <c r="AL37" i="8" s="1"/>
  <c r="AB17" i="19"/>
  <c r="AO120" i="6"/>
  <c r="AO118" i="6"/>
  <c r="AO121" i="6" s="1"/>
  <c r="AQ50" i="8" l="1"/>
  <c r="AQ52" i="8" s="1"/>
  <c r="AQ71" i="5"/>
  <c r="AQ73" i="5" s="1"/>
  <c r="AR51" i="8"/>
  <c r="AO128" i="6"/>
  <c r="AN56" i="8"/>
  <c r="AN67" i="8" s="1"/>
  <c r="AR11" i="8"/>
  <c r="AR50" i="8"/>
  <c r="AR52" i="8" s="1"/>
  <c r="AQ48" i="6"/>
  <c r="AC17" i="19"/>
  <c r="AC12" i="19"/>
  <c r="AC13" i="19"/>
  <c r="AC14" i="19"/>
  <c r="AC15" i="19"/>
  <c r="AC16" i="19"/>
  <c r="AM33" i="8"/>
  <c r="AM37" i="8" s="1"/>
  <c r="AO45" i="8"/>
  <c r="AO48" i="8" s="1"/>
  <c r="AO54" i="8" s="1"/>
  <c r="AR69" i="5"/>
  <c r="AR137" i="5"/>
  <c r="AR139" i="5" s="1"/>
  <c r="AR141" i="5" s="1"/>
  <c r="AR115" i="6" s="1"/>
  <c r="AM61" i="6"/>
  <c r="AN10" i="8" s="1"/>
  <c r="AN29" i="8" s="1"/>
  <c r="AU75" i="1"/>
  <c r="AT80" i="1"/>
  <c r="AO51" i="6"/>
  <c r="AO53" i="6"/>
  <c r="AQ88" i="8"/>
  <c r="AQ30" i="8"/>
  <c r="AQ89" i="8"/>
  <c r="AQ90" i="8"/>
  <c r="AQ87" i="8"/>
  <c r="AQ116" i="6"/>
  <c r="AQ124" i="6"/>
  <c r="AQ126" i="6" s="1"/>
  <c r="AP91" i="8"/>
  <c r="AS72" i="6"/>
  <c r="AT47" i="8" s="1"/>
  <c r="AS135" i="6"/>
  <c r="AS139" i="6" s="1"/>
  <c r="AP118" i="6"/>
  <c r="AP121" i="6" s="1"/>
  <c r="AP120" i="6"/>
  <c r="AE24" i="19"/>
  <c r="AE27" i="19"/>
  <c r="AE26" i="19"/>
  <c r="AE29" i="19"/>
  <c r="AO93" i="8"/>
  <c r="AE28" i="19"/>
  <c r="AE25" i="19"/>
  <c r="AN54" i="6"/>
  <c r="AO55" i="8" s="1"/>
  <c r="AS132" i="5"/>
  <c r="AS130" i="5" s="1"/>
  <c r="AS62" i="5"/>
  <c r="AP57" i="6"/>
  <c r="AP59" i="6" s="1"/>
  <c r="AQ46" i="8" s="1"/>
  <c r="AP49" i="6"/>
  <c r="AR71" i="5" l="1"/>
  <c r="AR73" i="5" s="1"/>
  <c r="AR48" i="6" s="1"/>
  <c r="AS51" i="8"/>
  <c r="AR116" i="6"/>
  <c r="AR124" i="6"/>
  <c r="AR126" i="6" s="1"/>
  <c r="AS50" i="8"/>
  <c r="AS52" i="8" s="1"/>
  <c r="AP51" i="6"/>
  <c r="AP53" i="6"/>
  <c r="AS137" i="5"/>
  <c r="AS139" i="5" s="1"/>
  <c r="AS141" i="5" s="1"/>
  <c r="AS115" i="6" s="1"/>
  <c r="AQ118" i="6"/>
  <c r="AQ121" i="6" s="1"/>
  <c r="AQ120" i="6"/>
  <c r="AN61" i="6"/>
  <c r="AO10" i="8" s="1"/>
  <c r="AO29" i="8" s="1"/>
  <c r="AQ57" i="6"/>
  <c r="AQ59" i="6" s="1"/>
  <c r="AR46" i="8" s="1"/>
  <c r="AQ49" i="6"/>
  <c r="AQ91" i="8"/>
  <c r="AV75" i="1"/>
  <c r="AU80" i="1"/>
  <c r="AP128" i="6"/>
  <c r="AF29" i="19"/>
  <c r="AF24" i="19"/>
  <c r="AF25" i="19"/>
  <c r="AF26" i="19"/>
  <c r="AP93" i="8"/>
  <c r="AF27" i="19"/>
  <c r="AF28" i="19"/>
  <c r="AP45" i="8"/>
  <c r="AP48" i="8" s="1"/>
  <c r="AP54" i="8" s="1"/>
  <c r="AD12" i="19"/>
  <c r="AD15" i="19"/>
  <c r="AD14" i="19"/>
  <c r="AD17" i="19"/>
  <c r="AD16" i="19"/>
  <c r="AD13" i="19"/>
  <c r="AN33" i="8"/>
  <c r="AN37" i="8" s="1"/>
  <c r="AR90" i="8"/>
  <c r="AR89" i="8"/>
  <c r="AR87" i="8"/>
  <c r="AR30" i="8"/>
  <c r="AR88" i="8"/>
  <c r="AS69" i="5"/>
  <c r="AO54" i="6"/>
  <c r="AP55" i="8" s="1"/>
  <c r="AO56" i="8"/>
  <c r="AO67" i="8" s="1"/>
  <c r="AS11" i="8" l="1"/>
  <c r="AS71" i="5"/>
  <c r="AS73" i="5" s="1"/>
  <c r="AT51" i="8"/>
  <c r="AQ128" i="6"/>
  <c r="AS116" i="6"/>
  <c r="AS124" i="6"/>
  <c r="AS126" i="6" s="1"/>
  <c r="AG27" i="19"/>
  <c r="AG28" i="19"/>
  <c r="AQ93" i="8"/>
  <c r="AG29" i="19"/>
  <c r="AG24" i="19"/>
  <c r="AG25" i="19"/>
  <c r="AG26" i="19"/>
  <c r="AE12" i="19"/>
  <c r="AE15" i="19"/>
  <c r="AE14" i="19"/>
  <c r="AE17" i="19"/>
  <c r="AO33" i="8"/>
  <c r="AO37" i="8" s="1"/>
  <c r="AE16" i="19"/>
  <c r="AE13" i="19"/>
  <c r="AS87" i="8"/>
  <c r="AS90" i="8"/>
  <c r="AS88" i="8"/>
  <c r="AS30" i="8"/>
  <c r="AS89" i="8"/>
  <c r="AP56" i="8"/>
  <c r="AP67" i="8" s="1"/>
  <c r="AO61" i="6"/>
  <c r="AP10" i="8" s="1"/>
  <c r="AP29" i="8" s="1"/>
  <c r="AQ53" i="6"/>
  <c r="AQ51" i="6"/>
  <c r="AQ45" i="8"/>
  <c r="AQ48" i="8" s="1"/>
  <c r="AQ54" i="8" s="1"/>
  <c r="AT50" i="8"/>
  <c r="AT52" i="8" s="1"/>
  <c r="AS48" i="6"/>
  <c r="AT11" i="8"/>
  <c r="AR91" i="8"/>
  <c r="AP54" i="6"/>
  <c r="AQ55" i="8" s="1"/>
  <c r="AV80" i="1"/>
  <c r="AW75" i="1"/>
  <c r="AR57" i="6"/>
  <c r="AR59" i="6" s="1"/>
  <c r="AS46" i="8" s="1"/>
  <c r="AR49" i="6"/>
  <c r="AR118" i="6"/>
  <c r="AR121" i="6" s="1"/>
  <c r="AR120" i="6"/>
  <c r="F7" i="20" l="1" a="1"/>
  <c r="F7" i="20" s="1"/>
  <c r="D71" i="21" a="1"/>
  <c r="AP61" i="6"/>
  <c r="AQ10" i="8" s="1"/>
  <c r="AQ29" i="8" s="1"/>
  <c r="AG12" i="19" s="1"/>
  <c r="F10" i="20"/>
  <c r="F12" i="20"/>
  <c r="F14" i="20"/>
  <c r="F17" i="20"/>
  <c r="F20" i="20"/>
  <c r="F21" i="20"/>
  <c r="F25" i="20"/>
  <c r="F26" i="20"/>
  <c r="F28" i="20"/>
  <c r="F32" i="20"/>
  <c r="F33" i="20"/>
  <c r="AR128" i="6"/>
  <c r="AR45" i="8"/>
  <c r="AR48" i="8" s="1"/>
  <c r="AR54" i="8" s="1"/>
  <c r="AW80" i="1"/>
  <c r="AX75" i="1"/>
  <c r="AR93" i="8"/>
  <c r="AH25" i="19"/>
  <c r="AH29" i="19"/>
  <c r="AH24" i="19"/>
  <c r="AH27" i="19"/>
  <c r="AH26" i="19"/>
  <c r="AH28" i="19"/>
  <c r="AG14" i="19"/>
  <c r="AG15" i="19"/>
  <c r="AG17" i="19"/>
  <c r="AF13" i="19"/>
  <c r="AF14" i="19"/>
  <c r="AF15" i="19"/>
  <c r="AF16" i="19"/>
  <c r="AP33" i="8"/>
  <c r="AP37" i="8" s="1"/>
  <c r="AF17" i="19"/>
  <c r="AF12" i="19"/>
  <c r="AR53" i="6"/>
  <c r="AR51" i="6"/>
  <c r="AT87" i="8"/>
  <c r="AT30" i="8"/>
  <c r="AT88" i="8"/>
  <c r="K88" i="8" s="1"/>
  <c r="AT89" i="8"/>
  <c r="K89" i="8" s="1"/>
  <c r="AT90" i="8"/>
  <c r="K90" i="8" s="1"/>
  <c r="K11" i="8"/>
  <c r="AQ56" i="8"/>
  <c r="AQ67" i="8" s="1"/>
  <c r="F36" i="20"/>
  <c r="AS57" i="6"/>
  <c r="AS59" i="6" s="1"/>
  <c r="AS49" i="6"/>
  <c r="AQ54" i="6"/>
  <c r="AR55" i="8" s="1"/>
  <c r="AS91" i="8"/>
  <c r="AS118" i="6"/>
  <c r="AS121" i="6" s="1"/>
  <c r="AS120" i="6"/>
  <c r="AG16" i="19" l="1"/>
  <c r="F30" i="20"/>
  <c r="F22" i="20"/>
  <c r="F16" i="20"/>
  <c r="F9" i="20"/>
  <c r="AQ33" i="8"/>
  <c r="AQ37" i="8" s="1"/>
  <c r="AG13" i="19"/>
  <c r="F34" i="20"/>
  <c r="F29" i="20"/>
  <c r="F24" i="20"/>
  <c r="F18" i="20"/>
  <c r="F13" i="20"/>
  <c r="F8" i="20"/>
  <c r="F35" i="20"/>
  <c r="F31" i="20"/>
  <c r="F27" i="20"/>
  <c r="F23" i="20"/>
  <c r="F19" i="20"/>
  <c r="F15" i="20"/>
  <c r="F11" i="20"/>
  <c r="AT46" i="8"/>
  <c r="H175" i="21" a="1"/>
  <c r="D73" i="21"/>
  <c r="D75" i="21"/>
  <c r="D88" i="21"/>
  <c r="D98" i="21"/>
  <c r="D76" i="21"/>
  <c r="D90" i="21"/>
  <c r="D85" i="21"/>
  <c r="D78" i="21"/>
  <c r="D79" i="21"/>
  <c r="D93" i="21"/>
  <c r="D94" i="21"/>
  <c r="D95" i="21"/>
  <c r="D89" i="21"/>
  <c r="D91" i="21"/>
  <c r="D86" i="21"/>
  <c r="D83" i="21"/>
  <c r="D92" i="21"/>
  <c r="D71" i="21"/>
  <c r="D84" i="21"/>
  <c r="D97" i="21"/>
  <c r="D81" i="21"/>
  <c r="D99" i="21"/>
  <c r="D100" i="21"/>
  <c r="D96" i="21"/>
  <c r="D82" i="21"/>
  <c r="D74" i="21"/>
  <c r="D80" i="21"/>
  <c r="D87" i="21"/>
  <c r="D77" i="21"/>
  <c r="D72" i="21"/>
  <c r="AS128" i="6"/>
  <c r="AT91" i="8"/>
  <c r="K87" i="8"/>
  <c r="K91" i="8" s="1"/>
  <c r="AY75" i="1"/>
  <c r="AY80" i="1" s="1"/>
  <c r="AX80" i="1"/>
  <c r="AR54" i="6"/>
  <c r="AS55" i="8" s="1"/>
  <c r="AS45" i="8"/>
  <c r="AS48" i="8" s="1"/>
  <c r="AS54" i="8" s="1"/>
  <c r="AR56" i="8"/>
  <c r="AR67" i="8" s="1"/>
  <c r="AI26" i="19"/>
  <c r="AI28" i="19"/>
  <c r="AS93" i="8"/>
  <c r="AI25" i="19"/>
  <c r="AI29" i="19"/>
  <c r="AI24" i="19"/>
  <c r="AI27" i="19"/>
  <c r="AS53" i="6"/>
  <c r="G175" i="21" s="1" a="1"/>
  <c r="AS51" i="6"/>
  <c r="H15" i="11"/>
  <c r="K18" i="8"/>
  <c r="AQ61" i="6"/>
  <c r="AR10" i="8" s="1"/>
  <c r="AR29" i="8" s="1"/>
  <c r="G7" i="20" l="1" a="1"/>
  <c r="G8" i="20" s="1"/>
  <c r="F140" i="21" a="1"/>
  <c r="G177" i="21"/>
  <c r="G196" i="21"/>
  <c r="G180" i="21"/>
  <c r="G195" i="21"/>
  <c r="G179" i="21"/>
  <c r="G194" i="21"/>
  <c r="G178" i="21"/>
  <c r="G189" i="21"/>
  <c r="G184" i="21"/>
  <c r="G183" i="21"/>
  <c r="G182" i="21"/>
  <c r="G192" i="21"/>
  <c r="G176" i="21"/>
  <c r="G191" i="21"/>
  <c r="G175" i="21"/>
  <c r="G190" i="21"/>
  <c r="G201" i="21"/>
  <c r="G185" i="21"/>
  <c r="G204" i="21"/>
  <c r="G188" i="21"/>
  <c r="G203" i="21"/>
  <c r="G187" i="21"/>
  <c r="G202" i="21"/>
  <c r="G186" i="21"/>
  <c r="G197" i="21"/>
  <c r="G181" i="21"/>
  <c r="G200" i="21"/>
  <c r="G199" i="21"/>
  <c r="G198" i="21"/>
  <c r="G193" i="21"/>
  <c r="H175" i="21"/>
  <c r="H201" i="21"/>
  <c r="H185" i="21"/>
  <c r="H190" i="21"/>
  <c r="H196" i="21"/>
  <c r="H180" i="21"/>
  <c r="H199" i="21"/>
  <c r="H183" i="21"/>
  <c r="H178" i="21"/>
  <c r="H202" i="21"/>
  <c r="H184" i="21"/>
  <c r="H187" i="21"/>
  <c r="H198" i="21"/>
  <c r="H197" i="21"/>
  <c r="H181" i="21"/>
  <c r="H182" i="21"/>
  <c r="H192" i="21"/>
  <c r="H176" i="21"/>
  <c r="H195" i="21"/>
  <c r="H179" i="21"/>
  <c r="H186" i="21"/>
  <c r="H193" i="21"/>
  <c r="H177" i="21"/>
  <c r="H204" i="21"/>
  <c r="H188" i="21"/>
  <c r="H194" i="21"/>
  <c r="H191" i="21"/>
  <c r="H189" i="21"/>
  <c r="H200" i="21"/>
  <c r="H203" i="21"/>
  <c r="G7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AR61" i="6"/>
  <c r="AS10" i="8" s="1"/>
  <c r="AS29" i="8" s="1"/>
  <c r="AS33" i="8" s="1"/>
  <c r="AS37" i="8" s="1"/>
  <c r="G35" i="20"/>
  <c r="AS56" i="8"/>
  <c r="AS67" i="8" s="1"/>
  <c r="G36" i="20"/>
  <c r="AS54" i="6"/>
  <c r="G36" i="11"/>
  <c r="K97" i="8"/>
  <c r="F47" i="11" s="1"/>
  <c r="AH16" i="19"/>
  <c r="AH13" i="19"/>
  <c r="AH12" i="19"/>
  <c r="AH15" i="19"/>
  <c r="AH14" i="19"/>
  <c r="AH17" i="19"/>
  <c r="AR33" i="8"/>
  <c r="AR37" i="8" s="1"/>
  <c r="AT45" i="8"/>
  <c r="AT48" i="8" s="1"/>
  <c r="AT54" i="8" s="1"/>
  <c r="AJ25" i="19"/>
  <c r="AJ26" i="19"/>
  <c r="AJ27" i="19"/>
  <c r="AJ29" i="19"/>
  <c r="AT93" i="8"/>
  <c r="AJ24" i="19"/>
  <c r="AJ28" i="19"/>
  <c r="AI15" i="19" l="1"/>
  <c r="AI17" i="19"/>
  <c r="AI12" i="19"/>
  <c r="AT55" i="8"/>
  <c r="I175" i="21" a="1"/>
  <c r="AI14" i="19"/>
  <c r="F140" i="21"/>
  <c r="F166" i="21"/>
  <c r="F150" i="21"/>
  <c r="F151" i="21"/>
  <c r="F157" i="21"/>
  <c r="F141" i="21"/>
  <c r="F168" i="21"/>
  <c r="F152" i="21"/>
  <c r="F143" i="21"/>
  <c r="F159" i="21"/>
  <c r="F147" i="21"/>
  <c r="F162" i="21"/>
  <c r="F146" i="21"/>
  <c r="F169" i="21"/>
  <c r="F153" i="21"/>
  <c r="F167" i="21"/>
  <c r="F164" i="21"/>
  <c r="F148" i="21"/>
  <c r="F161" i="21"/>
  <c r="F163" i="21"/>
  <c r="F158" i="21"/>
  <c r="F142" i="21"/>
  <c r="F165" i="21"/>
  <c r="F149" i="21"/>
  <c r="F155" i="21"/>
  <c r="F160" i="21"/>
  <c r="F144" i="21"/>
  <c r="F154" i="21"/>
  <c r="F145" i="21"/>
  <c r="F156" i="21"/>
  <c r="AI13" i="19"/>
  <c r="AI16" i="19"/>
  <c r="AS61" i="6"/>
  <c r="AT10" i="8" s="1"/>
  <c r="AT56" i="8"/>
  <c r="AT67" i="8" s="1"/>
  <c r="AM28" i="19"/>
  <c r="AL28" i="19"/>
  <c r="AM24" i="19"/>
  <c r="AL24" i="19"/>
  <c r="AM26" i="19"/>
  <c r="AL26" i="19"/>
  <c r="G37" i="11"/>
  <c r="H36" i="11" s="1"/>
  <c r="AL27" i="19"/>
  <c r="AM27" i="19"/>
  <c r="AM25" i="19"/>
  <c r="AL25" i="19"/>
  <c r="K96" i="8"/>
  <c r="K95" i="8"/>
  <c r="F45" i="11" s="1"/>
  <c r="AL29" i="19"/>
  <c r="AM29" i="19"/>
  <c r="AT29" i="8"/>
  <c r="K10" i="8"/>
  <c r="G154" i="21" l="1"/>
  <c r="I154" i="21" s="1"/>
  <c r="H154" i="21"/>
  <c r="G149" i="21"/>
  <c r="I149" i="21" s="1"/>
  <c r="H149" i="21"/>
  <c r="G163" i="21"/>
  <c r="I163" i="21" s="1"/>
  <c r="H163" i="21"/>
  <c r="G167" i="21"/>
  <c r="I167" i="21" s="1"/>
  <c r="H167" i="21"/>
  <c r="G162" i="21"/>
  <c r="I162" i="21" s="1"/>
  <c r="H162" i="21"/>
  <c r="G152" i="21"/>
  <c r="I152" i="21" s="1"/>
  <c r="H152" i="21"/>
  <c r="G151" i="21"/>
  <c r="I151" i="21" s="1"/>
  <c r="H151" i="21"/>
  <c r="G144" i="21"/>
  <c r="I144" i="21" s="1"/>
  <c r="H144" i="21"/>
  <c r="G165" i="21"/>
  <c r="I165" i="21" s="1"/>
  <c r="H165" i="21"/>
  <c r="G161" i="21"/>
  <c r="I161" i="21" s="1"/>
  <c r="H161" i="21"/>
  <c r="G153" i="21"/>
  <c r="I153" i="21" s="1"/>
  <c r="H153" i="21"/>
  <c r="G147" i="21"/>
  <c r="I147" i="21" s="1"/>
  <c r="H147" i="21"/>
  <c r="G168" i="21"/>
  <c r="I168" i="21" s="1"/>
  <c r="H168" i="21"/>
  <c r="G150" i="21"/>
  <c r="I150" i="21" s="1"/>
  <c r="H150" i="21"/>
  <c r="I175" i="21"/>
  <c r="I200" i="21"/>
  <c r="I190" i="21"/>
  <c r="I201" i="21"/>
  <c r="I185" i="21"/>
  <c r="I196" i="21"/>
  <c r="I180" i="21"/>
  <c r="I195" i="21"/>
  <c r="I179" i="21"/>
  <c r="I178" i="21"/>
  <c r="I204" i="21"/>
  <c r="I199" i="21"/>
  <c r="I202" i="21"/>
  <c r="I186" i="21"/>
  <c r="I197" i="21"/>
  <c r="I181" i="21"/>
  <c r="I192" i="21"/>
  <c r="I176" i="21"/>
  <c r="I191" i="21"/>
  <c r="I198" i="21"/>
  <c r="I182" i="21"/>
  <c r="I193" i="21"/>
  <c r="I177" i="21"/>
  <c r="I188" i="21"/>
  <c r="I203" i="21"/>
  <c r="I187" i="21"/>
  <c r="I194" i="21"/>
  <c r="I189" i="21"/>
  <c r="I184" i="21"/>
  <c r="I183" i="21"/>
  <c r="G156" i="21"/>
  <c r="I156" i="21" s="1"/>
  <c r="H156" i="21"/>
  <c r="G160" i="21"/>
  <c r="I160" i="21" s="1"/>
  <c r="H160" i="21"/>
  <c r="G142" i="21"/>
  <c r="I142" i="21" s="1"/>
  <c r="H142" i="21"/>
  <c r="G148" i="21"/>
  <c r="I148" i="21" s="1"/>
  <c r="H148" i="21"/>
  <c r="G169" i="21"/>
  <c r="I169" i="21" s="1"/>
  <c r="H169" i="21"/>
  <c r="G159" i="21"/>
  <c r="I159" i="21" s="1"/>
  <c r="H159" i="21"/>
  <c r="H141" i="21"/>
  <c r="G141" i="21"/>
  <c r="I141" i="21" s="1"/>
  <c r="G166" i="21"/>
  <c r="I166" i="21" s="1"/>
  <c r="H166" i="21"/>
  <c r="H145" i="21"/>
  <c r="G145" i="21"/>
  <c r="I145" i="21" s="1"/>
  <c r="G155" i="21"/>
  <c r="I155" i="21" s="1"/>
  <c r="H155" i="21"/>
  <c r="G158" i="21"/>
  <c r="I158" i="21" s="1"/>
  <c r="H158" i="21"/>
  <c r="G164" i="21"/>
  <c r="I164" i="21" s="1"/>
  <c r="H164" i="21"/>
  <c r="G146" i="21"/>
  <c r="I146" i="21" s="1"/>
  <c r="H146" i="21"/>
  <c r="G143" i="21"/>
  <c r="I143" i="21" s="1"/>
  <c r="H143" i="21"/>
  <c r="G157" i="21"/>
  <c r="I157" i="21" s="1"/>
  <c r="H157" i="21"/>
  <c r="H140" i="21"/>
  <c r="G140" i="21"/>
  <c r="I140" i="21" s="1"/>
  <c r="AO26" i="19"/>
  <c r="AO27" i="19"/>
  <c r="AO24" i="19"/>
  <c r="AO29" i="19"/>
  <c r="AO28" i="19"/>
  <c r="F46" i="11"/>
  <c r="AO25" i="19"/>
  <c r="AP29" i="19"/>
  <c r="H35" i="11"/>
  <c r="H34" i="11"/>
  <c r="H33" i="11"/>
  <c r="AP25" i="19"/>
  <c r="AP24" i="19"/>
  <c r="AP27" i="19"/>
  <c r="H14" i="11"/>
  <c r="K17" i="8"/>
  <c r="K20" i="8"/>
  <c r="AJ15" i="19"/>
  <c r="AJ16" i="19"/>
  <c r="AJ17" i="19"/>
  <c r="AJ12" i="19"/>
  <c r="AJ13" i="19"/>
  <c r="AJ14" i="19"/>
  <c r="AT33" i="8"/>
  <c r="AT37" i="8" s="1"/>
  <c r="AP26" i="19"/>
  <c r="AP28" i="19"/>
  <c r="H17" i="11" l="1"/>
  <c r="K21" i="8"/>
  <c r="AL17" i="19"/>
  <c r="AM17" i="19"/>
  <c r="AM12" i="19"/>
  <c r="AL12" i="19"/>
  <c r="K40" i="8"/>
  <c r="K39" i="8"/>
  <c r="F24" i="11" s="1"/>
  <c r="AL16" i="19"/>
  <c r="AM16" i="19"/>
  <c r="H37" i="11"/>
  <c r="AM14" i="19"/>
  <c r="AL14" i="19"/>
  <c r="AL13" i="19"/>
  <c r="AM13" i="19"/>
  <c r="AM15" i="19"/>
  <c r="AL15" i="19"/>
  <c r="AP17" i="19" l="1"/>
  <c r="AP13" i="19"/>
  <c r="AO15" i="19"/>
  <c r="AO17" i="19"/>
  <c r="AO16" i="19"/>
  <c r="AO13" i="19"/>
  <c r="AO14" i="19"/>
  <c r="AO12" i="19"/>
  <c r="F25" i="11"/>
  <c r="AP14" i="19"/>
  <c r="AP16" i="19"/>
  <c r="K22" i="8"/>
  <c r="H18" i="11"/>
  <c r="AP15" i="19"/>
  <c r="AP12" i="19"/>
  <c r="T60" i="8" l="1"/>
  <c r="R60" i="8"/>
  <c r="S60" i="8"/>
  <c r="K24" i="8"/>
  <c r="U60" i="8"/>
  <c r="F19" i="11"/>
  <c r="Q60" i="8"/>
  <c r="E8" i="9"/>
  <c r="G85" i="11" l="1"/>
  <c r="S61" i="8"/>
  <c r="S67" i="8" s="1"/>
  <c r="G73" i="11"/>
  <c r="G71" i="11"/>
  <c r="G72" i="11" s="1"/>
  <c r="R61" i="8"/>
  <c r="R67" i="8" s="1"/>
  <c r="F85" i="11"/>
  <c r="E17" i="9"/>
  <c r="E16" i="9" s="1"/>
  <c r="E7" i="9"/>
  <c r="E85" i="11"/>
  <c r="Q61" i="8"/>
  <c r="Q67" i="8" s="1"/>
  <c r="Q68" i="8" s="1"/>
  <c r="U61" i="8"/>
  <c r="U67" i="8" s="1"/>
  <c r="T61" i="8"/>
  <c r="T67" i="8" s="1"/>
  <c r="H85" i="11"/>
  <c r="R68" i="8" l="1"/>
  <c r="S68" i="8" s="1"/>
  <c r="T68" i="8" s="1"/>
  <c r="U68" i="8" s="1"/>
  <c r="V68" i="8" s="1"/>
  <c r="W68" i="8" s="1"/>
  <c r="X68" i="8" s="1"/>
  <c r="Y68" i="8" s="1"/>
  <c r="Z68" i="8" s="1"/>
  <c r="AA68" i="8" s="1"/>
  <c r="AB68" i="8" s="1"/>
  <c r="AC68" i="8" s="1"/>
  <c r="AD68" i="8" s="1"/>
  <c r="AE68" i="8" s="1"/>
  <c r="AF68" i="8" s="1"/>
  <c r="AG68" i="8" s="1"/>
  <c r="AH68" i="8" s="1"/>
  <c r="AI68" i="8" s="1"/>
  <c r="AJ68" i="8" s="1"/>
  <c r="AK68" i="8" s="1"/>
  <c r="AL68" i="8" s="1"/>
  <c r="AM68" i="8" s="1"/>
  <c r="AN68" i="8" s="1"/>
  <c r="AO68" i="8" s="1"/>
  <c r="AP68" i="8" s="1"/>
  <c r="AQ68" i="8" s="1"/>
  <c r="AR68" i="8" s="1"/>
  <c r="AS68" i="8" s="1"/>
  <c r="AT68" i="8" s="1"/>
  <c r="F10" i="9"/>
  <c r="F7" i="9"/>
  <c r="G74" i="11"/>
  <c r="F8" i="9" l="1"/>
  <c r="E80" i="11"/>
  <c r="F13" i="9"/>
  <c r="F14" i="9" l="1"/>
  <c r="F80" i="11"/>
  <c r="D8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9" authorId="0" shapeId="0" xr:uid="{16424F49-8721-4D17-983C-80D15564BA68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Previziuni WB (oct 2022) + previziuni ROPEX_FM pentru perioada 2023-2027</t>
        </r>
      </text>
    </comment>
    <comment ref="K72" authorId="0" shapeId="0" xr:uid="{CAEDC5C6-22BF-428D-BA60-8FEDE94D4FF3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OUG 27/2022</t>
        </r>
      </text>
    </comment>
    <comment ref="K75" authorId="0" shapeId="0" xr:uid="{468BEA83-4B27-42A6-BA8A-5FBE867FB8D1}">
      <text>
        <r>
          <rPr>
            <b/>
            <sz val="9"/>
            <color indexed="81"/>
            <rFont val="Segoe UI"/>
            <charset val="1"/>
          </rPr>
          <t>User:</t>
        </r>
        <r>
          <rPr>
            <sz val="9"/>
            <color indexed="81"/>
            <rFont val="Segoe UI"/>
            <charset val="1"/>
          </rPr>
          <t xml:space="preserve">
https://www.opcom.ro/acasa/ro</t>
        </r>
      </text>
    </comment>
    <comment ref="K81" authorId="0" shapeId="0" xr:uid="{49C1BDAB-F161-486F-B3B4-AB74A8204FBD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EU ETS price februarie 2023</t>
        </r>
      </text>
    </comment>
    <comment ref="M81" authorId="0" shapeId="0" xr:uid="{E31D80B4-ECDE-403D-93B1-98D31A7DDFDB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ritm de escaladare</t>
        </r>
      </text>
    </comment>
  </commentList>
</comments>
</file>

<file path=xl/sharedStrings.xml><?xml version="1.0" encoding="utf-8"?>
<sst xmlns="http://schemas.openxmlformats.org/spreadsheetml/2006/main" count="1386" uniqueCount="676">
  <si>
    <t>SOLICITANT:</t>
  </si>
  <si>
    <t>PROIECT:</t>
  </si>
  <si>
    <t>Rata de actualizare financiara</t>
  </si>
  <si>
    <t>&lt;&lt;Istoric&gt;&gt;</t>
  </si>
  <si>
    <t>Parametri generali</t>
  </si>
  <si>
    <t>Primul an de proiectie</t>
  </si>
  <si>
    <t>Perioada de implementare a proiectului (ani)</t>
  </si>
  <si>
    <t>DA</t>
  </si>
  <si>
    <t>NU</t>
  </si>
  <si>
    <t>Indicatori macroeconomici</t>
  </si>
  <si>
    <t>Prognoze macroeconomice</t>
  </si>
  <si>
    <t>Cursul de schimb mediu</t>
  </si>
  <si>
    <t>Cresterea in termeni reali a salariilor</t>
  </si>
  <si>
    <t>Cresterea in termeni reali a produsului intern brut</t>
  </si>
  <si>
    <t>Cresterea inflatiei medii anuale</t>
  </si>
  <si>
    <t>%</t>
  </si>
  <si>
    <t>Ron/euro</t>
  </si>
  <si>
    <t>Anul de baza</t>
  </si>
  <si>
    <t>&lt;&lt;Proiectii&gt;&gt;</t>
  </si>
  <si>
    <t>Celulele colorate cu galben se completeaza</t>
  </si>
  <si>
    <t>Celulele albe contin formule sau valori predefinite</t>
  </si>
  <si>
    <t>Cresterea elementelor de cost - de la un an la altul</t>
  </si>
  <si>
    <t>Cresterea in termeni reali a cheltuielilor materiale</t>
  </si>
  <si>
    <t>Cresterea in termeni reali a cheltuielilor cu energia electrica</t>
  </si>
  <si>
    <t>Cresterea in termeni reali a cheltuielilor cu intretinerea</t>
  </si>
  <si>
    <t>Cresterea in termeni reali a altor costuri</t>
  </si>
  <si>
    <t>Venitul disponibil pe gospodarie</t>
  </si>
  <si>
    <t xml:space="preserve">Venitul mediu disponibil (net) la nivel national </t>
  </si>
  <si>
    <t>lei/pers/luna</t>
  </si>
  <si>
    <t xml:space="preserve">Castigul salarial nominal mediu brut la nivel national </t>
  </si>
  <si>
    <t xml:space="preserve">Venitul mediu disponibil (net) la nivelul localitatii in care se implementeaza proiectul </t>
  </si>
  <si>
    <t>Alte inputuri</t>
  </si>
  <si>
    <t>lei/tona</t>
  </si>
  <si>
    <t>SCENARIUL CU PROIECT</t>
  </si>
  <si>
    <t>tone/an</t>
  </si>
  <si>
    <t>SCENARIUL FARA PROIECT</t>
  </si>
  <si>
    <t>Proiectare</t>
  </si>
  <si>
    <t>Achizitie teren</t>
  </si>
  <si>
    <t>Constructii</t>
  </si>
  <si>
    <t>Instalatii si echipamente</t>
  </si>
  <si>
    <t>Diverse si neprevazute</t>
  </si>
  <si>
    <t>Publicitate</t>
  </si>
  <si>
    <t>Supervizare</t>
  </si>
  <si>
    <t>Asistenta tehnica</t>
  </si>
  <si>
    <t>Sub-TOTAL</t>
  </si>
  <si>
    <t>(TVA)</t>
  </si>
  <si>
    <t>TOTAL</t>
  </si>
  <si>
    <t>lei</t>
  </si>
  <si>
    <t>ELIGIBILE</t>
  </si>
  <si>
    <t>NEELIGIBILE</t>
  </si>
  <si>
    <t xml:space="preserve">TOTAL  </t>
  </si>
  <si>
    <t>TOTAL COSTURI DE INVESTITIE</t>
  </si>
  <si>
    <t>Durata de viata economica</t>
  </si>
  <si>
    <t>Ani</t>
  </si>
  <si>
    <t>Instalatii si echipamente tehnologice</t>
  </si>
  <si>
    <t>Active necorporale</t>
  </si>
  <si>
    <t>Echipamente mobile</t>
  </si>
  <si>
    <t>Valoare</t>
  </si>
  <si>
    <t>Indicele de cost in constructii</t>
  </si>
  <si>
    <t>lei/an</t>
  </si>
  <si>
    <t>Perioada de referinta a proiectului (ani)</t>
  </si>
  <si>
    <t>Costuri de personal</t>
  </si>
  <si>
    <t>Alte costuri</t>
  </si>
  <si>
    <t xml:space="preserve">Costuri cu mentenanta si reparatiile activelor </t>
  </si>
  <si>
    <t>TOTAL COSTURI OPERATIONALE</t>
  </si>
  <si>
    <t>CALCULUL DEFICITULUI DE FINANTARE</t>
  </si>
  <si>
    <t>Venituri incrementale</t>
  </si>
  <si>
    <t>Costuri incrementale</t>
  </si>
  <si>
    <t>Reinvestitii</t>
  </si>
  <si>
    <t>Costurile de investitie (fara TVA si fara diverse si neprevazute)</t>
  </si>
  <si>
    <t>FLUX DE NUMERAR NET</t>
  </si>
  <si>
    <t>FRR/C</t>
  </si>
  <si>
    <t>FNPV/C</t>
  </si>
  <si>
    <t>Dobanzi credit platite</t>
  </si>
  <si>
    <t>Rate credit platite</t>
  </si>
  <si>
    <t>Costuri eligibile</t>
  </si>
  <si>
    <t>TVA</t>
  </si>
  <si>
    <t>Total valoare proiect (Total costuri = eligibile + neeligibile)</t>
  </si>
  <si>
    <t>Deficit de finantare</t>
  </si>
  <si>
    <t xml:space="preserve">GRANT UE </t>
  </si>
  <si>
    <t>Costuri neeligibile (alte categorii decat cele eligibile)</t>
  </si>
  <si>
    <t>Bugetul local</t>
  </si>
  <si>
    <t>Contributia Guvernului Romaniei</t>
  </si>
  <si>
    <t>Contributia de la bugetul local</t>
  </si>
  <si>
    <t>Alte costuri neeligibile</t>
  </si>
  <si>
    <t>ANALIZA FINANCIARA</t>
  </si>
  <si>
    <t>Principalele elemente si parametri</t>
  </si>
  <si>
    <t>Perioada de referinta (Ani)</t>
  </si>
  <si>
    <t>Rata actualizare financiara (%) - real</t>
  </si>
  <si>
    <t>Funding gap rate (%) = (10) / (4)</t>
  </si>
  <si>
    <t>(FRR/C)</t>
  </si>
  <si>
    <t>(FNPV/C)</t>
  </si>
  <si>
    <t>Rata de co-finantare din axa prioritara (%)</t>
  </si>
  <si>
    <t>National privat</t>
  </si>
  <si>
    <t>Alte surse          (specificati)</t>
  </si>
  <si>
    <t>a)= b)+c)+d)+e)</t>
  </si>
  <si>
    <t>b)</t>
  </si>
  <si>
    <t>c)</t>
  </si>
  <si>
    <t>d)</t>
  </si>
  <si>
    <t>e)</t>
  </si>
  <si>
    <t>Indicatori financiari</t>
  </si>
  <si>
    <t>FARA sprijinul Uniunii</t>
  </si>
  <si>
    <t>Rata interna de rentabilitate financiara</t>
  </si>
  <si>
    <t>Valoarea actualizata neta financiara</t>
  </si>
  <si>
    <t>Venit net = venituri - costuri operationale + valoare reziduala (in lei, actualizat) = (7) - (8) + (6)</t>
  </si>
  <si>
    <t xml:space="preserve">Costuri investitionale - venituri nete (in lei, actualizat) = (4) - (9)                        </t>
  </si>
  <si>
    <t>Articole</t>
  </si>
  <si>
    <t>COSTURI DE INVESTITIE TOTALE</t>
  </si>
  <si>
    <t>COSTURI NEELIGIBILE</t>
  </si>
  <si>
    <t>COSTURI ELIGIBILE</t>
  </si>
  <si>
    <t xml:space="preserve">Suma decizie, "suma la care se aplica rata de co-finantare pentru axa" </t>
  </si>
  <si>
    <t>(in lei)</t>
  </si>
  <si>
    <t>Sursa de acoperire a costurilor investitionale totale (lei)</t>
  </si>
  <si>
    <t>SURSE DE FINANTARE - PRETURI CONSTANTE LEI</t>
  </si>
  <si>
    <t>SUSTENABILITATEA FINANCIARA</t>
  </si>
  <si>
    <t>Costuri de investitie</t>
  </si>
  <si>
    <t>Contributia UE</t>
  </si>
  <si>
    <t>Contributia Solicitantului</t>
  </si>
  <si>
    <t>Alte surse pentru acoperirea deficitului de numerar</t>
  </si>
  <si>
    <t>FLUXUL DE NUMERAR NET ANUAL</t>
  </si>
  <si>
    <t>FLUXUL DE NUMERAR NET CUMULAT</t>
  </si>
  <si>
    <t>nr</t>
  </si>
  <si>
    <t>Cofinantare Fondul de Modernizare</t>
  </si>
  <si>
    <t xml:space="preserve">Castigul salarial nominal mediu brut la nivelul judetului in care se implementeaza proiectul </t>
  </si>
  <si>
    <t>lei/gosp/luna</t>
  </si>
  <si>
    <t>Cota de TVA in vigoare</t>
  </si>
  <si>
    <t>Rata de actualizare sociala</t>
  </si>
  <si>
    <t>RON</t>
  </si>
  <si>
    <t>EUR</t>
  </si>
  <si>
    <t>Moneda de realizare a proiectiilor financiare</t>
  </si>
  <si>
    <t>t/TJ</t>
  </si>
  <si>
    <t>Factori de emisie pentru gazele naturale</t>
  </si>
  <si>
    <t>Parametri de conversie</t>
  </si>
  <si>
    <t>Gcal/Mwh</t>
  </si>
  <si>
    <t>GJ/m3</t>
  </si>
  <si>
    <t>Gcal/GJ</t>
  </si>
  <si>
    <t>Mwh/GJ</t>
  </si>
  <si>
    <t>Preturi inputuri analiza financiara</t>
  </si>
  <si>
    <t>$/mmbtu</t>
  </si>
  <si>
    <t>Milion BTU/MWh</t>
  </si>
  <si>
    <t>euro/Mwh</t>
  </si>
  <si>
    <t>USD/EUR</t>
  </si>
  <si>
    <t>Tarif transport gaze naturale</t>
  </si>
  <si>
    <t>Tarif distributie gaze naturale</t>
  </si>
  <si>
    <t>lei/Mwh</t>
  </si>
  <si>
    <t>Indici de crestere a gazelor naturale</t>
  </si>
  <si>
    <t>PZU</t>
  </si>
  <si>
    <t>PI</t>
  </si>
  <si>
    <t>PCCB</t>
  </si>
  <si>
    <t>eur/Mwh</t>
  </si>
  <si>
    <t>Pret achizitie energie electrica</t>
  </si>
  <si>
    <t>Preturi inputuri analiza economica</t>
  </si>
  <si>
    <t>euro/tona</t>
  </si>
  <si>
    <t>ian - oct 2022</t>
  </si>
  <si>
    <t>Cost monetar NOx - preturi anul 2006</t>
  </si>
  <si>
    <t>Cost monetar pulberi - preturi anul 2006</t>
  </si>
  <si>
    <t>Preturi initiale</t>
  </si>
  <si>
    <t>Inflatie cumulata</t>
  </si>
  <si>
    <t>Anexa 1- Evoluția consumului de căldură în varianta "fără proiect"</t>
  </si>
  <si>
    <t>Reducere consum de caldura ca urmare a debransarii ag. economici si institutii publice</t>
  </si>
  <si>
    <t>TJ/an</t>
  </si>
  <si>
    <t>Reducere consum de caldura ca urmare a debransarii de apartamente</t>
  </si>
  <si>
    <t>Reducere consum ca urmare a izolarii termice a locuintelor</t>
  </si>
  <si>
    <t>Tj/an</t>
  </si>
  <si>
    <t>Reducere consum ca urmare a izolarii termice a cladirilor aferente consumatorilor noncasnici</t>
  </si>
  <si>
    <t>ap.</t>
  </si>
  <si>
    <t>Estimare nr.apartamente ce se branseaza</t>
  </si>
  <si>
    <t>Estimare nr. consumatori non-casnici ce se debranseaza</t>
  </si>
  <si>
    <t>Estimare nr.consumatori non-casnici ce se branseaza/rebranseaza</t>
  </si>
  <si>
    <t>Estimare consumatori non-casnici bransati</t>
  </si>
  <si>
    <t>Total reducere consum energie termica casnici</t>
  </si>
  <si>
    <t>Total reducere consum energie termica non casnici</t>
  </si>
  <si>
    <t xml:space="preserve">Total consum energie termica casnici: </t>
  </si>
  <si>
    <t>Pierderi in retelele termice</t>
  </si>
  <si>
    <t>Total energie termica produsa</t>
  </si>
  <si>
    <t>Gcal/an</t>
  </si>
  <si>
    <t>Consum /apartament si an</t>
  </si>
  <si>
    <t>TJ/an si ap.</t>
  </si>
  <si>
    <t>Gcal/an si ap</t>
  </si>
  <si>
    <t>KWh/mp si an</t>
  </si>
  <si>
    <t>Consum consumatori non-casnici/an</t>
  </si>
  <si>
    <t>TJ/consumator</t>
  </si>
  <si>
    <t>Consumatori C1</t>
  </si>
  <si>
    <t>Consumatori C2</t>
  </si>
  <si>
    <t>Total apartamente</t>
  </si>
  <si>
    <t>Numar apartamente debransate</t>
  </si>
  <si>
    <t>Anexa 2 - Evoluție consum si producţie în varianta "fără proiect"</t>
  </si>
  <si>
    <t>Energie termica produsa in SACET</t>
  </si>
  <si>
    <t>TJ</t>
  </si>
  <si>
    <t>Cantitate de energie termica consumata (vinduta)</t>
  </si>
  <si>
    <t>Pierderi in retele termice</t>
  </si>
  <si>
    <t>Energie electrica produsa SACET</t>
  </si>
  <si>
    <t>GWh</t>
  </si>
  <si>
    <t xml:space="preserve">             - Consum din productie proprie</t>
  </si>
  <si>
    <t>GWH</t>
  </si>
  <si>
    <t xml:space="preserve">             - Consum din SEN</t>
  </si>
  <si>
    <t>Tj</t>
  </si>
  <si>
    <t>1000mc</t>
  </si>
  <si>
    <t>t</t>
  </si>
  <si>
    <t>Cogenerare</t>
  </si>
  <si>
    <t>Energie electrica produsa</t>
  </si>
  <si>
    <t>Energie termica produsa</t>
  </si>
  <si>
    <t>Cazan apa fierbinte + CAI</t>
  </si>
  <si>
    <t>Consum de combustibil</t>
  </si>
  <si>
    <t>Emisii CO2 -gaze nat. pentru producerea energiei electrice</t>
  </si>
  <si>
    <t>Total emisii CO2</t>
  </si>
  <si>
    <t>Estimare nr. aparatmente conectate</t>
  </si>
  <si>
    <t>Estimare nr. de apartamente ce se debranseaza</t>
  </si>
  <si>
    <t>Anexa 3 - Emisii CO2  în varianta "fără proiect"</t>
  </si>
  <si>
    <t>Total consum caldura casnici si non-casnici</t>
  </si>
  <si>
    <t>Total consum caldura non-casnici</t>
  </si>
  <si>
    <t>1000 mc</t>
  </si>
  <si>
    <t>Total consum de combustibil - gaze naturale:</t>
  </si>
  <si>
    <t>Energie electrica</t>
  </si>
  <si>
    <t>Energie termica</t>
  </si>
  <si>
    <t>Consum total de gaze naturale</t>
  </si>
  <si>
    <t>Consum de gaze naturale pentru producera energiei termice</t>
  </si>
  <si>
    <t>Certificate CO2 alocate gratuit</t>
  </si>
  <si>
    <t>Certificate CO2 de achizitionat</t>
  </si>
  <si>
    <t>euro/certificat</t>
  </si>
  <si>
    <t>Pret certificat CO2</t>
  </si>
  <si>
    <t>Euro</t>
  </si>
  <si>
    <t>Nr.  Crt.</t>
  </si>
  <si>
    <t>Denumirea capitolelor şi subcapitolelor de cheltuieli</t>
  </si>
  <si>
    <t>Valoare fara TVA</t>
  </si>
  <si>
    <t>Valoare cu TVA</t>
  </si>
  <si>
    <t>Lei</t>
  </si>
  <si>
    <t>CAPITOLUL 1 - Cheltuieli pentru obţinerea şi amenajarea terenului</t>
  </si>
  <si>
    <t>1.1</t>
  </si>
  <si>
    <t xml:space="preserve">Obţinerea terenului </t>
  </si>
  <si>
    <t>1.2</t>
  </si>
  <si>
    <t>Amenajarea terenului</t>
  </si>
  <si>
    <t>1.2.1</t>
  </si>
  <si>
    <t>Demontări reţea termică existentă</t>
  </si>
  <si>
    <t>1.3</t>
  </si>
  <si>
    <t>Amenajări pentru protecţia mediului și aducerea la starea inițială</t>
  </si>
  <si>
    <t>1.4</t>
  </si>
  <si>
    <t>Cheltuieli pentru relocarea/protecția utilităților</t>
  </si>
  <si>
    <t>Total CAP. 1</t>
  </si>
  <si>
    <t>CAPITOLUL 2 - Cheltuieli pentru asigurarea utilităţilor necesare obiectivului</t>
  </si>
  <si>
    <t>2.1</t>
  </si>
  <si>
    <t>Cheltuieli pentru asigurarea utilităţilor necesare obiectivului de investiții</t>
  </si>
  <si>
    <t>Total CAP.2</t>
  </si>
  <si>
    <t>CAPITOLUL 3 - Cheltuieli pentru proiectare şi asistenţă tehnică</t>
  </si>
  <si>
    <t>3.1</t>
  </si>
  <si>
    <t>Studii</t>
  </si>
  <si>
    <t>3.1.1</t>
  </si>
  <si>
    <t xml:space="preserve">Studii de teren </t>
  </si>
  <si>
    <t>3.1.2</t>
  </si>
  <si>
    <t>Raport privind impactul asupra mediului</t>
  </si>
  <si>
    <t>3.1.3</t>
  </si>
  <si>
    <t>Alte studii specifice (Geo)</t>
  </si>
  <si>
    <t>3.2</t>
  </si>
  <si>
    <t>Documentații - suport și cheltuieli pentru obținerea de avize, acorduri și autorizații</t>
  </si>
  <si>
    <t>3.3</t>
  </si>
  <si>
    <t>Expertizare tehnică</t>
  </si>
  <si>
    <t>3.4</t>
  </si>
  <si>
    <t>Certificarea performanței energetice și auditul energetic al clădirilor</t>
  </si>
  <si>
    <t>3.5</t>
  </si>
  <si>
    <t>3.5.1</t>
  </si>
  <si>
    <t>Temă de proiectare</t>
  </si>
  <si>
    <t>3.5.2</t>
  </si>
  <si>
    <t>Studiu de prefezabilitate</t>
  </si>
  <si>
    <t>3.5.3</t>
  </si>
  <si>
    <t>Studiu de fezabilitate / documentație de avizare a lucrărilor de intervenții și deviz general</t>
  </si>
  <si>
    <t>3.5.4</t>
  </si>
  <si>
    <t>Documentațiile tehnice necesare în vederea obținerii avizelor / acordurilor / autorizațiilor</t>
  </si>
  <si>
    <t>3.5.5</t>
  </si>
  <si>
    <t>Verificarea tehnică de calitate a proiectului tehnic și a detaliilor de execuție</t>
  </si>
  <si>
    <t>3.5.6</t>
  </si>
  <si>
    <t>Proiect tehnic și detalii de execuție</t>
  </si>
  <si>
    <t>3.6</t>
  </si>
  <si>
    <t>Organizarea procedurilor de achiziţie</t>
  </si>
  <si>
    <t>3.7</t>
  </si>
  <si>
    <t>Consultanţă</t>
  </si>
  <si>
    <t>3.7.1</t>
  </si>
  <si>
    <t>Managementul de proiect pentru obiectivul de investiții</t>
  </si>
  <si>
    <t>3.7.2</t>
  </si>
  <si>
    <t>Auditul financiar</t>
  </si>
  <si>
    <t>3.7.3</t>
  </si>
  <si>
    <t>Salarii UIP</t>
  </si>
  <si>
    <t>3.8</t>
  </si>
  <si>
    <t xml:space="preserve">Asistenţă tehnică </t>
  </si>
  <si>
    <t>3.8.1</t>
  </si>
  <si>
    <t>Asistență tehnică din partea proiectantului</t>
  </si>
  <si>
    <t>3.8.1.1</t>
  </si>
  <si>
    <t>pe perioada de execuție a lucrărilor</t>
  </si>
  <si>
    <t>3.8.1.2</t>
  </si>
  <si>
    <t>pentru participarea proiectantului la fazele incluse în programul de control al lucrărilor de execuție, avizat de Inspectoratul de Stat în Construcții</t>
  </si>
  <si>
    <t>3.8.2</t>
  </si>
  <si>
    <t>Diriginție de șantier</t>
  </si>
  <si>
    <t>3.8.3</t>
  </si>
  <si>
    <t>Supraveghere arheologică</t>
  </si>
  <si>
    <t>Total CAP. 3</t>
  </si>
  <si>
    <t>CAPITOLUL 4 - Cheltuieli pentru investiţia de bază</t>
  </si>
  <si>
    <t>4.1</t>
  </si>
  <si>
    <t xml:space="preserve">Construcţii şi instalaţii </t>
  </si>
  <si>
    <t>4.1.1</t>
  </si>
  <si>
    <t>Achizitie elemente de conducte preizolate si servicii asiguratare de furnizorii de elemente preizolate</t>
  </si>
  <si>
    <t>4.1.2</t>
  </si>
  <si>
    <t>Montaj elemente preizolate, inclusiv monitorizare avarii în conducte preizolate</t>
  </si>
  <si>
    <t>4.1.3</t>
  </si>
  <si>
    <t>Instalatii termomecanice in sistem clasic</t>
  </si>
  <si>
    <t>4.1.4</t>
  </si>
  <si>
    <t>Desfaceri, refaceri, terasamente</t>
  </si>
  <si>
    <t>4.1.5</t>
  </si>
  <si>
    <t>Lucrari de constructii</t>
  </si>
  <si>
    <t>4.2</t>
  </si>
  <si>
    <t>Montaj utilaje, echipamente tehnologice și fucționale</t>
  </si>
  <si>
    <t>4.3</t>
  </si>
  <si>
    <t>Utilaje, echipamente tehnologice și funcționale care necesită montaj</t>
  </si>
  <si>
    <t>4.4</t>
  </si>
  <si>
    <t>Utilaje, echipamente tehnologice și funcționale care nu necesită montaj și echipamente de transport</t>
  </si>
  <si>
    <t>4.5</t>
  </si>
  <si>
    <t>Dotări</t>
  </si>
  <si>
    <t>4.6</t>
  </si>
  <si>
    <t>Total CAP. 4</t>
  </si>
  <si>
    <t xml:space="preserve">CAPITOLUL 5 - Alte cheltuieli </t>
  </si>
  <si>
    <t>5.1</t>
  </si>
  <si>
    <t xml:space="preserve">Organizare de şantier                            </t>
  </si>
  <si>
    <t>5.1.1</t>
  </si>
  <si>
    <t>Lucrări de construcţii și instalații aferente organizării de șantier</t>
  </si>
  <si>
    <t>5.1.2</t>
  </si>
  <si>
    <t>Cheltuieli conexe organizării șantierului</t>
  </si>
  <si>
    <t>5.2</t>
  </si>
  <si>
    <t>Comisioane, cote, taxe, costul creditului</t>
  </si>
  <si>
    <t>5.2.1</t>
  </si>
  <si>
    <t>Comisioanele și dobânzile aferente creditului băncii finanțatoare</t>
  </si>
  <si>
    <t>5.2.2</t>
  </si>
  <si>
    <t>Cota aferentă ISC pentru controlul calității lucrărilor de construcții</t>
  </si>
  <si>
    <t>5.2.3</t>
  </si>
  <si>
    <t>Cota pentru controlul statului în amenajarea teritoriului, urbanism și pentru autorizarea lucrărilor de construcții</t>
  </si>
  <si>
    <t>5.2.4</t>
  </si>
  <si>
    <t>Cota aferentă Casei Sociale a Constructorilor - CSC</t>
  </si>
  <si>
    <t>5.2.5</t>
  </si>
  <si>
    <t>Taxe pentru acorduri, avize conforme și autorizația de construire / desființare</t>
  </si>
  <si>
    <t>5.3</t>
  </si>
  <si>
    <t>Cheltuieli diverse şi neprevăzute</t>
  </si>
  <si>
    <t>5.4</t>
  </si>
  <si>
    <t>Cheltuieli pentru informare și publicitate</t>
  </si>
  <si>
    <t>Total CAP. 5</t>
  </si>
  <si>
    <t>CAPITOLUL 6 - Cheltuieli pentru probe tehnologice si teste, precum si predare la beneficiar</t>
  </si>
  <si>
    <t>6.1</t>
  </si>
  <si>
    <t>Pregătirea personalului de exploatare</t>
  </si>
  <si>
    <t>6.2</t>
  </si>
  <si>
    <t>Probe tehnologice și teste</t>
  </si>
  <si>
    <t>Total CAP. 6</t>
  </si>
  <si>
    <t>TOTAL GENERAL</t>
  </si>
  <si>
    <t>Din care C+M (1.2+1.3+1.4+2+4.1+4.2+5.1.1)</t>
  </si>
  <si>
    <t>Necesar nefinantabil (contributie ROC)</t>
  </si>
  <si>
    <t>Nerecuperabil</t>
  </si>
  <si>
    <t>COSTURI O&amp;M - SURSA DE PRODUCERE A ENERGIEI TERMICE</t>
  </si>
  <si>
    <t>Costuri materiale</t>
  </si>
  <si>
    <t xml:space="preserve">Costuri cu amortizarea </t>
  </si>
  <si>
    <t>Costuri cu redeventa</t>
  </si>
  <si>
    <t>Costuri cu achizitia de certificate CO2</t>
  </si>
  <si>
    <t>Costuri cu consumul de energie electrica</t>
  </si>
  <si>
    <t>Gaze naturale</t>
  </si>
  <si>
    <t>Pret achizitie gaze naturale</t>
  </si>
  <si>
    <t>Mwh/an</t>
  </si>
  <si>
    <t>Certificate CO2</t>
  </si>
  <si>
    <t>buc/an</t>
  </si>
  <si>
    <t>lei/buc</t>
  </si>
  <si>
    <t>Costuri cu amortizarea</t>
  </si>
  <si>
    <t>TOTAL COSTURI CU PRODUCTIA DE ENERGIE TERMICA</t>
  </si>
  <si>
    <t>Numar de personal</t>
  </si>
  <si>
    <t>Salariul mediu brut (inclusiv contributiile sociale)</t>
  </si>
  <si>
    <t>nr/an</t>
  </si>
  <si>
    <t>Cheltuieli cu consumul de apa tehnologica</t>
  </si>
  <si>
    <t>lei/pers/an</t>
  </si>
  <si>
    <t>Energie electrica - medie tensiune</t>
  </si>
  <si>
    <t>Pret achizitie energie electrica - medie tensiune</t>
  </si>
  <si>
    <t>TOTAL COSTURI CU TRANSPORTUL ENERGIEI TERMICE</t>
  </si>
  <si>
    <t>PROIECTIA CERERII IN SCENARIUL CU PROIECT</t>
  </si>
  <si>
    <t>Consum casnic</t>
  </si>
  <si>
    <t>Numar apartamente conectate la sistemul de termoficare</t>
  </si>
  <si>
    <t>TOTAL CONSUM CASNIC</t>
  </si>
  <si>
    <t>Gcal/ap</t>
  </si>
  <si>
    <t>Consum comercial</t>
  </si>
  <si>
    <t>Companii comerciale</t>
  </si>
  <si>
    <t>TOTAL CONSUM COMERCIAL</t>
  </si>
  <si>
    <t>Productie de energie termica</t>
  </si>
  <si>
    <t>Consum total de energie termica</t>
  </si>
  <si>
    <t>Pierderi</t>
  </si>
  <si>
    <t>PRODUCTIE TOTALA DE ENERGIE TERMICA</t>
  </si>
  <si>
    <t>Productie energie electrica</t>
  </si>
  <si>
    <t>Energie electrica produsa in cogenerare de inalta eficienta</t>
  </si>
  <si>
    <t xml:space="preserve">Consum de energie electrica </t>
  </si>
  <si>
    <t>Energie electrica livrata in SEN</t>
  </si>
  <si>
    <t>ANALIZA DE SUPORTABILITATE</t>
  </si>
  <si>
    <t>Venit mediu disponibil pe gospodarie</t>
  </si>
  <si>
    <t>lei/gospodarie/an</t>
  </si>
  <si>
    <t>Procent din venitul mediu pe gospodărie alocat pentru plata energiei termice</t>
  </si>
  <si>
    <t>Factura suportabila anuala de energie termica (inclusiv TVA)</t>
  </si>
  <si>
    <t>Factura suportabila anuala de energie termica (exclusiv TVA)</t>
  </si>
  <si>
    <t>lei/Gcal</t>
  </si>
  <si>
    <t>Cota de TVA in vigoare pentru serviciile de termoficare</t>
  </si>
  <si>
    <t>Tarif necesar client casnic</t>
  </si>
  <si>
    <t>Tarif suportabil client casnic</t>
  </si>
  <si>
    <t>Subventie individuala</t>
  </si>
  <si>
    <t>VENITURI ENERGIE TERMICA</t>
  </si>
  <si>
    <t>Energie termica livrata clientilor casnici</t>
  </si>
  <si>
    <t>Venituri din livrarea de energie termica catre clienti casnici</t>
  </si>
  <si>
    <t>Venituri din subventii de pret</t>
  </si>
  <si>
    <t>CLIENTI NON-CASNICI</t>
  </si>
  <si>
    <t>CLIENTI CASNICI</t>
  </si>
  <si>
    <t>Tarif local facturare clienti casnici (exclusiv TVA)</t>
  </si>
  <si>
    <t>mii lei/an</t>
  </si>
  <si>
    <t>TOTAL VENITURI DIN LIVRAREA DE ENERGIE TERMICA</t>
  </si>
  <si>
    <t>VENITURI ENERGIE ELECTRICA</t>
  </si>
  <si>
    <t>Pretul de vanzare al energiei electrice</t>
  </si>
  <si>
    <t>Bonus de cogenerare</t>
  </si>
  <si>
    <t>Pret vanzare energie electrica</t>
  </si>
  <si>
    <t>PROIECTIA CERERII IN SCENARIUL FARA PROIECT</t>
  </si>
  <si>
    <t>Consum energie termica pe apartament</t>
  </si>
  <si>
    <t>VENITURI OPERATIONALE - valori actualizate</t>
  </si>
  <si>
    <t>CHELTUIELI OPERATIONALE - valori actualizate</t>
  </si>
  <si>
    <t>mii lei</t>
  </si>
  <si>
    <t>CHELTUIELI ELIGIBILE (EE = DIC - DNR)</t>
  </si>
  <si>
    <t>VENITURI NETE ACTUALIZATE (DNR)</t>
  </si>
  <si>
    <t>COSTURI DE INVESTITIE - valori actualizate (DIC)</t>
  </si>
  <si>
    <t>RATA DEFICITULUI DE FINANTARE</t>
  </si>
  <si>
    <t>Valoarea reziduala</t>
  </si>
  <si>
    <t>Venituri din livrarea de energie termica la consumatorii casnici</t>
  </si>
  <si>
    <t>Venituri din vanzarea de energie electrica</t>
  </si>
  <si>
    <t>TOTAL VENITURI OPERATIONALE (fara subventie de exploatare)</t>
  </si>
  <si>
    <t xml:space="preserve">Costuri operationale </t>
  </si>
  <si>
    <t>Flux de numerar operational inainte de subventii din exploatare</t>
  </si>
  <si>
    <t>Subventii din exploatare</t>
  </si>
  <si>
    <t>Flux de numerar operational dupa subventii din exploatare</t>
  </si>
  <si>
    <t>Costuri de reinvestitie</t>
  </si>
  <si>
    <t>Venituri din livrarea de energie termica la consumatorii non-casnici</t>
  </si>
  <si>
    <t>Non funding gap</t>
  </si>
  <si>
    <t>EXTERNALITATI ECONOMICE</t>
  </si>
  <si>
    <t>Emisii CO2 din scenariul fara proiect</t>
  </si>
  <si>
    <t>Emisii CO2 din scenariul cu proiect</t>
  </si>
  <si>
    <t>Emisii CO2 - valori incrementale</t>
  </si>
  <si>
    <t>Pretul carbonului</t>
  </si>
  <si>
    <t>TOTAL BENEFICII DIN REDUCEREA EMISIILOR CO2</t>
  </si>
  <si>
    <t>BENEFICII DIN CRESTEREA SECURITATII FURNIZARII DE ENERGIE TERMICA</t>
  </si>
  <si>
    <t>Valoare monetara a securitatii in furnizarea de energie</t>
  </si>
  <si>
    <t>INDICATORII ECONOMICI</t>
  </si>
  <si>
    <t>INDICATORII FINANCIARI AI INVESTITIEI</t>
  </si>
  <si>
    <t>Beneficii economice</t>
  </si>
  <si>
    <t>Beneficii din cresterea securitatii in furnizarea de energie termica</t>
  </si>
  <si>
    <t>TOTAL BENEFICII ECONOMICE</t>
  </si>
  <si>
    <t>Costuri economice (costurile de investitie)</t>
  </si>
  <si>
    <t>Bunuri comercializabile</t>
  </si>
  <si>
    <t>Bunuri necomercializabile</t>
  </si>
  <si>
    <t>Forta de munca calificata</t>
  </si>
  <si>
    <t>Forta de munca necalificata</t>
  </si>
  <si>
    <t>TOTAL COSTURI ECONOMICE</t>
  </si>
  <si>
    <t>Costuri economice (costuri O&amp;M)</t>
  </si>
  <si>
    <t>BENEFICII ECONOMICE NETE</t>
  </si>
  <si>
    <t>ERR</t>
  </si>
  <si>
    <t>ENPV</t>
  </si>
  <si>
    <r>
      <t>Cost monetar CO</t>
    </r>
    <r>
      <rPr>
        <vertAlign val="subscript"/>
        <sz val="10"/>
        <color theme="1"/>
        <rFont val="Book Antiqua"/>
        <family val="1"/>
      </rPr>
      <t>2</t>
    </r>
    <r>
      <rPr>
        <sz val="10"/>
        <color theme="1"/>
        <rFont val="Book Antiqua"/>
        <family val="1"/>
      </rPr>
      <t xml:space="preserve"> - preturi anul 2016</t>
    </r>
  </si>
  <si>
    <r>
      <t>Cost monetar SO</t>
    </r>
    <r>
      <rPr>
        <vertAlign val="subscript"/>
        <sz val="10"/>
        <color theme="1"/>
        <rFont val="Book Antiqua"/>
        <family val="1"/>
      </rPr>
      <t>2</t>
    </r>
    <r>
      <rPr>
        <sz val="10"/>
        <color theme="1"/>
        <rFont val="Book Antiqua"/>
        <family val="1"/>
      </rPr>
      <t xml:space="preserve"> - preturi anul 2006</t>
    </r>
  </si>
  <si>
    <t xml:space="preserve"> </t>
  </si>
  <si>
    <t>Sensitivity analysis on FNPV(C) and FRR(C)</t>
  </si>
  <si>
    <t>% change</t>
  </si>
  <si>
    <t>Unit</t>
  </si>
  <si>
    <t>FNPV(C)</t>
  </si>
  <si>
    <t>FRR(C)</t>
  </si>
  <si>
    <t>Change in FNPV(C)</t>
  </si>
  <si>
    <t>Change in FRR(C)</t>
  </si>
  <si>
    <t>Capital expenditure with 1% increase</t>
  </si>
  <si>
    <t>Capital expenditure with 1% decrease</t>
  </si>
  <si>
    <t>Operational expenditure with 1% increase</t>
  </si>
  <si>
    <t>Operational expenditure with 1% decrease</t>
  </si>
  <si>
    <t>Revenue with 1% increase</t>
  </si>
  <si>
    <t>Revenue with 1% decrease</t>
  </si>
  <si>
    <t>Sensitivity analysis on ENPV and ERR</t>
  </si>
  <si>
    <t>Change in ENPV</t>
  </si>
  <si>
    <t>Change in ERR</t>
  </si>
  <si>
    <t>Capital expenditure with 1%  increase</t>
  </si>
  <si>
    <t>Operational expenditure with 1%  increase</t>
  </si>
  <si>
    <t>Benefits with 1%  increase</t>
  </si>
  <si>
    <t>Benefits with 1% decrease</t>
  </si>
  <si>
    <t>ANALIZA DE SENZITIVITATE</t>
  </si>
  <si>
    <t>ANALIZA ECONOMICA</t>
  </si>
  <si>
    <t>Total costuri investitie exclusiv diverse si neprevazute</t>
  </si>
  <si>
    <t xml:space="preserve">Valoare reziduala </t>
  </si>
  <si>
    <t>Venituri operationale</t>
  </si>
  <si>
    <t>Beneficiu</t>
  </si>
  <si>
    <t>% din total beneficii</t>
  </si>
  <si>
    <t>Cost</t>
  </si>
  <si>
    <t>% din total costuri</t>
  </si>
  <si>
    <t>Principalii parametri</t>
  </si>
  <si>
    <t>Rezultatele analizei financiare</t>
  </si>
  <si>
    <t>Detalii privind beneficiile si costurile economice</t>
  </si>
  <si>
    <t>Valoarea unitara (daca este cazul)</t>
  </si>
  <si>
    <t>Valoare totala (lei, actualizat)</t>
  </si>
  <si>
    <t>Costul investitiei</t>
  </si>
  <si>
    <t>Economii de costuri operationale</t>
  </si>
  <si>
    <t>Costurile de investitie (lei)</t>
  </si>
  <si>
    <t>Calculul contributiei comunitare (lei)</t>
  </si>
  <si>
    <t>Rezultatele analizei economice</t>
  </si>
  <si>
    <t>Calculul necesarului de finantare</t>
  </si>
  <si>
    <t>Raportul beneficiu cost</t>
  </si>
  <si>
    <t>Rb/c</t>
  </si>
  <si>
    <t>Indicatori economici</t>
  </si>
  <si>
    <t>PLAN FINANCIAR</t>
  </si>
  <si>
    <t>Sursa de co-finantare (lei)</t>
  </si>
  <si>
    <t xml:space="preserve">Costurile eligibile </t>
  </si>
  <si>
    <t xml:space="preserve">Total costuri investitionale </t>
  </si>
  <si>
    <t>Rata deficitului de finantare</t>
  </si>
  <si>
    <t>AN</t>
  </si>
  <si>
    <t>Venituri disponibile pe gospodarie</t>
  </si>
  <si>
    <t xml:space="preserve">Pret local al energiei termice </t>
  </si>
  <si>
    <t>(lei/Gcal, fara TVA)</t>
  </si>
  <si>
    <t xml:space="preserve">Subventie unitara </t>
  </si>
  <si>
    <t>Pret de facturare catre populatie</t>
  </si>
  <si>
    <t>(lei/Gcal, cu TVA)</t>
  </si>
  <si>
    <t xml:space="preserve">Limita maxima de suportabilitate servicii termoficare </t>
  </si>
  <si>
    <t>(lei/an)</t>
  </si>
  <si>
    <t>TOTAL VENITURI DIN LIVRAREA DE ENERGIE ELECTRICA</t>
  </si>
  <si>
    <t>Anul</t>
  </si>
  <si>
    <t>ANI</t>
  </si>
  <si>
    <t>ENERGIA TERMICA LIVRATA (GCAL/AN)</t>
  </si>
  <si>
    <t>consumatori casnici</t>
  </si>
  <si>
    <t>consumatori non-casnici</t>
  </si>
  <si>
    <t>Energia termica livrata</t>
  </si>
  <si>
    <t>Pierderi (Gcal/ an)</t>
  </si>
  <si>
    <t>Energia termica produsa (Gcal/ an)</t>
  </si>
  <si>
    <t>Certificate aferente emisiilor de CO2</t>
  </si>
  <si>
    <t>Anexa 1- Evoluția consumului de căldură în varianta "cu proiect"</t>
  </si>
  <si>
    <t>Pretul de achizitie a gazelor naturale la nivel european</t>
  </si>
  <si>
    <t>Pret de achizitie gaze naturale - scheme nationale de compensare</t>
  </si>
  <si>
    <t>Costuri cu consumul de combustibil</t>
  </si>
  <si>
    <t>Scenariul „cu proiect”</t>
  </si>
  <si>
    <t>Scenariul „fără proiect”</t>
  </si>
  <si>
    <r>
      <t>Costuri opera</t>
    </r>
    <r>
      <rPr>
        <sz val="9"/>
        <color rgb="FFFFFFFF"/>
        <rFont val="Cambria"/>
        <family val="1"/>
      </rPr>
      <t>ț</t>
    </r>
    <r>
      <rPr>
        <sz val="9"/>
        <color rgb="FFFFFFFF"/>
        <rFont val="Book Antiqua"/>
        <family val="1"/>
      </rPr>
      <t>ionale unitare nete (lei/Gcal/an)</t>
    </r>
  </si>
  <si>
    <t>cu proiect</t>
  </si>
  <si>
    <t>fara proiect</t>
  </si>
  <si>
    <t>Perioada/An</t>
  </si>
  <si>
    <t>Venit mediu  pe gospodărie</t>
  </si>
  <si>
    <t>Venit mediu disponibil alocat pentru plata ET</t>
  </si>
  <si>
    <t>Istoric</t>
  </si>
  <si>
    <t>Implementare investitie</t>
  </si>
  <si>
    <t>Pret de facturrare energie termica catre populatie</t>
  </si>
  <si>
    <r>
      <t>Subven</t>
    </r>
    <r>
      <rPr>
        <b/>
        <sz val="9"/>
        <color rgb="FFFFFFFF"/>
        <rFont val="Cambria"/>
        <family val="1"/>
      </rPr>
      <t>ț</t>
    </r>
    <r>
      <rPr>
        <b/>
        <sz val="9"/>
        <color rgb="FFFFFFFF"/>
        <rFont val="Book Antiqua"/>
        <family val="1"/>
      </rPr>
      <t>ie suportată din buget local</t>
    </r>
  </si>
  <si>
    <r>
      <t>Pre</t>
    </r>
    <r>
      <rPr>
        <b/>
        <sz val="9"/>
        <color rgb="FFFFFFFF"/>
        <rFont val="Cambria"/>
        <family val="1"/>
      </rPr>
      <t>ț</t>
    </r>
    <r>
      <rPr>
        <b/>
        <sz val="9"/>
        <color rgb="FFFFFFFF"/>
        <rFont val="Book Antiqua"/>
        <family val="1"/>
      </rPr>
      <t xml:space="preserve"> local al energiei termice</t>
    </r>
  </si>
  <si>
    <t>(lei/Gcal fără TVA)</t>
  </si>
  <si>
    <t>(lei/Gcal cu TVA)</t>
  </si>
  <si>
    <t>Tarif local suportabil clienti casnici (exclusiv TVA)</t>
  </si>
  <si>
    <t>Venituri din vânzarea energiei termice (lei/an)</t>
  </si>
  <si>
    <t>Gospodării</t>
  </si>
  <si>
    <r>
      <t>Agen</t>
    </r>
    <r>
      <rPr>
        <sz val="9"/>
        <color theme="1"/>
        <rFont val="Cambria"/>
        <family val="1"/>
      </rPr>
      <t>ț</t>
    </r>
    <r>
      <rPr>
        <sz val="9"/>
        <color theme="1"/>
        <rFont val="Book Antiqua"/>
        <family val="1"/>
      </rPr>
      <t xml:space="preserve">i economici </t>
    </r>
    <r>
      <rPr>
        <sz val="9"/>
        <color theme="1"/>
        <rFont val="Cambria"/>
        <family val="1"/>
      </rPr>
      <t>ș</t>
    </r>
    <r>
      <rPr>
        <sz val="9"/>
        <color theme="1"/>
        <rFont val="Book Antiqua"/>
        <family val="1"/>
      </rPr>
      <t>i institu</t>
    </r>
    <r>
      <rPr>
        <sz val="9"/>
        <color theme="1"/>
        <rFont val="Cambria"/>
        <family val="1"/>
      </rPr>
      <t>ț</t>
    </r>
    <r>
      <rPr>
        <sz val="9"/>
        <color theme="1"/>
        <rFont val="Book Antiqua"/>
        <family val="1"/>
      </rPr>
      <t>ii publice</t>
    </r>
  </si>
  <si>
    <r>
      <t>Subven</t>
    </r>
    <r>
      <rPr>
        <sz val="9"/>
        <color theme="1"/>
        <rFont val="Cambria"/>
        <family val="1"/>
      </rPr>
      <t>ț</t>
    </r>
    <r>
      <rPr>
        <sz val="9"/>
        <color theme="1"/>
        <rFont val="Book Antiqua"/>
        <family val="1"/>
      </rPr>
      <t>ii locale</t>
    </r>
  </si>
  <si>
    <r>
      <t>EE livrată în SEN (MWh</t>
    </r>
    <r>
      <rPr>
        <i/>
        <sz val="9"/>
        <color rgb="FF000000"/>
        <rFont val="Book Antiqua"/>
        <family val="1"/>
      </rPr>
      <t>/an)</t>
    </r>
  </si>
  <si>
    <t>Pret vanzare EE (lei/Mwh)</t>
  </si>
  <si>
    <t>Venituri din vanzarea EE (mii lei/an)</t>
  </si>
  <si>
    <t>Valoare neactualizata (mii lei)</t>
  </si>
  <si>
    <t>Valoare actualizata (mii lei)</t>
  </si>
  <si>
    <t>Beneficii de mediu</t>
  </si>
  <si>
    <t>Beneficii din reducerea emisiilor de CO2</t>
  </si>
  <si>
    <t>Valoare actualizată (mii lei)</t>
  </si>
  <si>
    <t>Valoare totala (mii lei, actualizat)</t>
  </si>
  <si>
    <t>Beneficii din reducerea emisiilor de SO2</t>
  </si>
  <si>
    <t>Beneficii din reducerea emisiilor de Nox</t>
  </si>
  <si>
    <t>Beneficii din reducerea emisiilor de pulberi</t>
  </si>
  <si>
    <t xml:space="preserve">% din total beneficii </t>
  </si>
  <si>
    <t>PRIMARIA MUNICIPIULUI SUCEAVA</t>
  </si>
  <si>
    <t>Reabilitarea sistemului de transport și distribuție energie termică în municipiul Suceava</t>
  </si>
  <si>
    <t>Pret achizitie biomasa</t>
  </si>
  <si>
    <t>Pret achizitie energie electrica - pret productie</t>
  </si>
  <si>
    <t>Consum total de biomasa</t>
  </si>
  <si>
    <t>Total consum combustibil - biomasa</t>
  </si>
  <si>
    <t>Consum biomasa pentru producere energie termica</t>
  </si>
  <si>
    <t>Energie termica + electrica produsa</t>
  </si>
  <si>
    <t xml:space="preserve">Consum biomasa </t>
  </si>
  <si>
    <t>t/Gwh</t>
  </si>
  <si>
    <t>TJ/t</t>
  </si>
  <si>
    <t>Emisii CO2-biomasa pentru prod.energie termica</t>
  </si>
  <si>
    <t xml:space="preserve">Total energie electrica livrata in sistem </t>
  </si>
  <si>
    <t>Consum energie electrica in CET, din care</t>
  </si>
  <si>
    <t>Consum energie electrica pentru pompare apa fierbinte si consum punct termic - cumparata din SEN</t>
  </si>
  <si>
    <t>kwh/Gcal</t>
  </si>
  <si>
    <t>Consum energie electrica pompe</t>
  </si>
  <si>
    <t>Devizul general al obiectului de investiții - ETAPA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cursul INFOREURO PE LUNA ianuarie 2023 de 4,9493 Lei/Euro</t>
  </si>
  <si>
    <t>COSTURI O&amp;M - TRANSPORT SI DISTRIBUTIE ENERGIE TERMICA</t>
  </si>
  <si>
    <t xml:space="preserve">Biomasa </t>
  </si>
  <si>
    <t>Certificate CO2 vandute</t>
  </si>
  <si>
    <t>Pretul de vanzare al certificatelor CO2</t>
  </si>
  <si>
    <t>lei/certificat</t>
  </si>
  <si>
    <t>Anexa 2 - Evoluție consum si producţie în varianta "cu proiect"</t>
  </si>
  <si>
    <t xml:space="preserve">TOTAL BENEFICII DIN CRESTEREA SECURITATII </t>
  </si>
  <si>
    <t>Energia electrica produsa in CHP</t>
  </si>
  <si>
    <t>MWPCS</t>
  </si>
  <si>
    <t>Emisii CO2 -gaze naturale</t>
  </si>
  <si>
    <t>Anexa 6</t>
  </si>
  <si>
    <t>Devizul general al obiectului de investiții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cursul Inforeuro de 4,9753 Lei / Euro din luna Ianuarie 2024</t>
  </si>
  <si>
    <t>Amenajarea terenului, demontari</t>
  </si>
  <si>
    <t>Alte studii specifice (Studiu Geotehnic)</t>
  </si>
  <si>
    <t>Coordonator în materie de securitate şi sănătate - conform Hotărârii Guvernului nr. 300/2006, cu modificările şi completările ulterioare</t>
  </si>
  <si>
    <t>Elemente de conducte preizolate și servicii asiguratare de furnizorii de elemente preizolate</t>
  </si>
  <si>
    <t>Demontari</t>
  </si>
  <si>
    <t>Sistem monitorizare avarii conducte</t>
  </si>
  <si>
    <t>Robineti</t>
  </si>
  <si>
    <t>Bucla contorizare</t>
  </si>
  <si>
    <t>4.1.6</t>
  </si>
  <si>
    <t>Bucla echilibrare</t>
  </si>
  <si>
    <t>4.1.7</t>
  </si>
  <si>
    <t>Desfaceri carosabil</t>
  </si>
  <si>
    <t>4.1.8</t>
  </si>
  <si>
    <t>Refaceri carosabil</t>
  </si>
  <si>
    <t>4.1.9</t>
  </si>
  <si>
    <t>Terasamente</t>
  </si>
  <si>
    <t>4.1.10</t>
  </si>
  <si>
    <t>Construcții rețele termice</t>
  </si>
  <si>
    <t>4.1.11</t>
  </si>
  <si>
    <t>Puncte termice: constructii, inclusiv instalatii aferente constructiilor</t>
  </si>
  <si>
    <t>4.1.12</t>
  </si>
  <si>
    <t>Puncte termice: instalatii electrice si de automatizare</t>
  </si>
  <si>
    <t>4.1.13</t>
  </si>
  <si>
    <t>Sistem pompare: instalatii electrice, transformatoare, cabluri electrice, robinete, filtre, compensatori, etc.</t>
  </si>
  <si>
    <t>Montaj utilaje, echipamente tehnologice și fucționale - puncte termice, pompe termoficare</t>
  </si>
  <si>
    <t>Utilaje, echipamente tehnologice și funcționale care necesită montaj - puncte termice, pompe termoficare</t>
  </si>
  <si>
    <t>CAPITOLUL 7
Cheltuieli aferente marjei de buget şi pentru constituirea rezervei de implementare pentru ajustarea de preţ</t>
  </si>
  <si>
    <t>7.1</t>
  </si>
  <si>
    <t>Cheltuieli aferente marjei de buget 25% din (1.2 + 1.3 + 1.4 + 2 + 3.1 + 3.2 + 3.3 + 3.5 + 3.7 + 3.8 + 4 + 5.1.1)</t>
  </si>
  <si>
    <t>7.2</t>
  </si>
  <si>
    <t>Cheltuieli pentru constituirea rezervei de implementare pentru ajustarea de preţ</t>
  </si>
  <si>
    <t>Total CAP. 7</t>
  </si>
  <si>
    <t>Colectiv responsabil:</t>
  </si>
  <si>
    <t>Ing. Duica Irina</t>
  </si>
  <si>
    <t>Ing. Apetroai Constantin</t>
  </si>
  <si>
    <t>Manager de proiect:</t>
  </si>
  <si>
    <t>Ec. Constantin Mihai</t>
  </si>
  <si>
    <t xml:space="preserve">COSTURI DE INVESTITII </t>
  </si>
  <si>
    <t>Tarife distributie - medie tensiune</t>
  </si>
  <si>
    <t>Tarife distributie - joasa tensiune</t>
  </si>
  <si>
    <t xml:space="preserve">Tarif transport   </t>
  </si>
  <si>
    <t>Componente CV +accize+certificate verzi</t>
  </si>
  <si>
    <r>
      <t>Cost monetar CO</t>
    </r>
    <r>
      <rPr>
        <vertAlign val="subscript"/>
        <sz val="10"/>
        <color theme="1"/>
        <rFont val="Book Antiqua"/>
        <family val="1"/>
      </rPr>
      <t>2</t>
    </r>
    <r>
      <rPr>
        <sz val="10"/>
        <color theme="1"/>
        <rFont val="Book Antiqua"/>
        <family val="1"/>
      </rPr>
      <t xml:space="preserve"> - preturi anul 2023</t>
    </r>
  </si>
  <si>
    <t>Costuri biomasa consumata</t>
  </si>
  <si>
    <t>Cantitate de biomasa achizitionata (masa uscata)</t>
  </si>
  <si>
    <t>w - umiditatea masurata</t>
  </si>
  <si>
    <t xml:space="preserve">Pci initial </t>
  </si>
  <si>
    <t>Cantitate de biomasa achizitionata (masa initiala)</t>
  </si>
  <si>
    <t>QB (masa initiala x Pci initial)</t>
  </si>
  <si>
    <t>Pret biomasa</t>
  </si>
  <si>
    <t>MW/t</t>
  </si>
  <si>
    <t>Pondere energie termica produsa si livrata pe baza de biomasa</t>
  </si>
  <si>
    <t>Pondere energie termica produsa si livrata pe baza de gaze naturale</t>
  </si>
  <si>
    <t>K - coeficient de corectie pentru eficienta de producere energie termica pe gaze naturale</t>
  </si>
  <si>
    <t>Pret mediu anual al combustibilului</t>
  </si>
  <si>
    <t>Pretul mediu anual al certificatului de CO2</t>
  </si>
  <si>
    <t>Costurile cu achizitia certificatelor de CO2</t>
  </si>
  <si>
    <t>tone/Mwh</t>
  </si>
  <si>
    <t>Pretul pentru energia termica produsa in cogenerare, produsa si livrata din centrala de cogenerare Bioenergy</t>
  </si>
  <si>
    <t>Coeficientul de variatie a inflatiei pentru perioada de calcul</t>
  </si>
  <si>
    <t>Profit reglementat de maxim 5% aferent activitatii de producere energie termica</t>
  </si>
  <si>
    <t>Factorul de emisie specific pentru functionarea pe baza de combustibil gazos</t>
  </si>
  <si>
    <t>Alte costuri fixe</t>
  </si>
  <si>
    <t>Apa potabila PT/canalizare / Apa bruta sau pretratata</t>
  </si>
  <si>
    <t xml:space="preserve">Cantitatea de energie termica produsa </t>
  </si>
  <si>
    <t>Curs INFOREURO din luna ianuarie 2024</t>
  </si>
  <si>
    <t xml:space="preserve">Recuperabil </t>
  </si>
  <si>
    <t>LIMITA GRANT UE</t>
  </si>
  <si>
    <t>2024-2030</t>
  </si>
  <si>
    <t>2031-2042</t>
  </si>
  <si>
    <t>National Public (sau echivalent)</t>
  </si>
  <si>
    <t>Fondul de modernizare</t>
  </si>
  <si>
    <t>Plan financiar anual pentru contributia din Fondul de Modernizare (lei)</t>
  </si>
  <si>
    <t>Fondul de Modernizare</t>
  </si>
  <si>
    <t>Contributia din Fondul de Modernizare (in lei) = (3) * (4)</t>
  </si>
  <si>
    <t>PLAN TARIFAR 2024-2053</t>
  </si>
  <si>
    <t>Durata de viata a investitiei (ani)</t>
  </si>
  <si>
    <t>BENEFICII DIN REDUCEREA EMISIILOR CO2 echiv</t>
  </si>
  <si>
    <t>Beneficii din reducerea de emisii CO2 echiv</t>
  </si>
  <si>
    <r>
      <t>CO</t>
    </r>
    <r>
      <rPr>
        <vertAlign val="subscript"/>
        <sz val="10"/>
        <color theme="1"/>
        <rFont val="Book Antiqua"/>
        <family val="1"/>
      </rPr>
      <t>2</t>
    </r>
    <r>
      <rPr>
        <sz val="10"/>
        <color theme="1"/>
        <rFont val="Book Antiqua"/>
        <family val="1"/>
      </rPr>
      <t>echivalent</t>
    </r>
  </si>
  <si>
    <t>Cost operational unitar</t>
  </si>
  <si>
    <t xml:space="preserve">Cost operational unitar </t>
  </si>
  <si>
    <t>Ajustare cu costurile cu amortizarea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</si>
</sst>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0.0000"/>
    <numFmt numFmtId="168" formatCode="#,##0.0"/>
    <numFmt numFmtId="169" formatCode="#,##0.0000"/>
    <numFmt numFmtId="170" formatCode="_(* #,##0_);_(* \(#,##0\);_(* &quot;-&quot;??_);_(@_)"/>
    <numFmt numFmtId="171" formatCode="_(* #,##0.0_);_(* \(#,##0.0\);_(* &quot;-&quot;_);_(@_)"/>
    <numFmt numFmtId="172" formatCode="#,##0.000"/>
    <numFmt numFmtId="173" formatCode="_-* #,##0.00\ _l_e_i_-;\-* #,##0.00\ _l_e_i_-;_-* &quot;-&quot;??\ _l_e_i_-;_-@_-"/>
    <numFmt numFmtId="174" formatCode="#,##0.00_ ;\-#,##0.00\ "/>
    <numFmt numFmtId="175" formatCode="#,##0.00000000000000000000000"/>
    <numFmt numFmtId="176" formatCode="#,##0_);[Red]\-#,##0_);0_);@_)"/>
    <numFmt numFmtId="177" formatCode="#,##0.00%;[Red]\-#,##0.00%;0.00%;@_)"/>
    <numFmt numFmtId="178" formatCode="#,##0.0%;[Red]\-#,##0.0%;0.0%;@_)"/>
    <numFmt numFmtId="179" formatCode="_(* #,##0.00_);_(* \(#,##0.00\);_(* &quot;-&quot;_);_(@_)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theme="0"/>
      <name val="Calibri"/>
      <family val="2"/>
      <charset val="238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b/>
      <i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name val="Book Antiqua"/>
      <family val="1"/>
    </font>
    <font>
      <b/>
      <sz val="9"/>
      <color theme="1"/>
      <name val="Book Antiqua"/>
      <family val="1"/>
    </font>
    <font>
      <b/>
      <sz val="12"/>
      <color theme="1"/>
      <name val="Book Antiqua"/>
      <family val="1"/>
    </font>
    <font>
      <i/>
      <sz val="10"/>
      <color theme="1"/>
      <name val="Book Antiqua"/>
      <family val="1"/>
    </font>
    <font>
      <b/>
      <i/>
      <sz val="11"/>
      <color theme="1"/>
      <name val="Book Antiqua"/>
      <family val="1"/>
    </font>
    <font>
      <vertAlign val="subscript"/>
      <sz val="10"/>
      <color theme="1"/>
      <name val="Book Antiqua"/>
      <family val="1"/>
    </font>
    <font>
      <i/>
      <u/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i/>
      <sz val="10"/>
      <name val="Book Antiqua"/>
      <family val="1"/>
    </font>
    <font>
      <i/>
      <sz val="10"/>
      <color indexed="8"/>
      <name val="Book Antiqua"/>
      <family val="1"/>
    </font>
    <font>
      <sz val="11"/>
      <name val="Book Antiqua"/>
      <family val="1"/>
    </font>
    <font>
      <sz val="9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b/>
      <i/>
      <sz val="10"/>
      <name val="Book Antiqua"/>
      <family val="1"/>
    </font>
    <font>
      <b/>
      <sz val="12"/>
      <name val="Book Antiqua"/>
      <family val="1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b/>
      <sz val="22"/>
      <name val="Arial"/>
      <family val="2"/>
    </font>
    <font>
      <b/>
      <sz val="22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theme="6" tint="-0.499984740745262"/>
      <name val="Cambria"/>
      <family val="1"/>
      <charset val="238"/>
    </font>
    <font>
      <sz val="9"/>
      <color theme="6" tint="-0.499984740745262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b/>
      <i/>
      <sz val="9"/>
      <color theme="1"/>
      <name val="Book Antiqua"/>
      <family val="1"/>
    </font>
    <font>
      <b/>
      <sz val="9"/>
      <color rgb="FFFFFFFF"/>
      <name val="Book Antiqua"/>
      <family val="1"/>
    </font>
    <font>
      <sz val="9"/>
      <color rgb="FF000000"/>
      <name val="Book Antiqua"/>
      <family val="1"/>
    </font>
    <font>
      <b/>
      <sz val="9"/>
      <color rgb="FF000000"/>
      <name val="Book Antiqua"/>
      <family val="1"/>
    </font>
    <font>
      <i/>
      <sz val="9"/>
      <color rgb="FF000000"/>
      <name val="Book Antiqua"/>
      <family val="1"/>
    </font>
    <font>
      <b/>
      <i/>
      <sz val="9"/>
      <color rgb="FFFFFFFF"/>
      <name val="Book Antiqua"/>
      <family val="1"/>
    </font>
    <font>
      <sz val="9"/>
      <color rgb="FFFFFFFF"/>
      <name val="Book Antiqua"/>
      <family val="1"/>
    </font>
    <font>
      <b/>
      <sz val="9"/>
      <color rgb="FFFFFFFF"/>
      <name val="Cambria"/>
      <family val="1"/>
    </font>
    <font>
      <sz val="9"/>
      <color rgb="FFFFFFFF"/>
      <name val="Cambria"/>
      <family val="1"/>
    </font>
    <font>
      <sz val="9"/>
      <color theme="1"/>
      <name val="Cambria"/>
      <family val="1"/>
    </font>
    <font>
      <b/>
      <i/>
      <sz val="9"/>
      <color rgb="FF000000"/>
      <name val="Book Antiqua"/>
      <family val="1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Book Antiqua"/>
      <family val="1"/>
    </font>
    <font>
      <sz val="9"/>
      <color theme="0"/>
      <name val="Book Antiqua"/>
      <family val="1"/>
    </font>
    <font>
      <sz val="10"/>
      <color theme="0"/>
      <name val="Book Antiqua"/>
      <family val="1"/>
    </font>
    <font>
      <b/>
      <sz val="10"/>
      <color theme="0"/>
      <name val="Book Antiqua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gray125">
        <fgColor auto="1"/>
        <bgColor auto="1"/>
      </patternFill>
    </fill>
    <fill>
      <patternFill patternType="gray125">
        <bgColor theme="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FD8E8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thin">
        <color auto="1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rgb="FF9F8AB9"/>
      </left>
      <right/>
      <top style="medium">
        <color rgb="FF9F8AB9"/>
      </top>
      <bottom style="medium">
        <color rgb="FF9F8AB9"/>
      </bottom>
      <diagonal/>
    </border>
    <border>
      <left/>
      <right/>
      <top style="medium">
        <color rgb="FF9F8AB9"/>
      </top>
      <bottom style="medium">
        <color rgb="FF9F8AB9"/>
      </bottom>
      <diagonal/>
    </border>
    <border>
      <left/>
      <right style="medium">
        <color rgb="FF9F8AB9"/>
      </right>
      <top style="medium">
        <color rgb="FF9F8AB9"/>
      </top>
      <bottom style="medium">
        <color rgb="FF9F8AB9"/>
      </bottom>
      <diagonal/>
    </border>
    <border>
      <left style="medium">
        <color rgb="FF9F8AB9"/>
      </left>
      <right/>
      <top/>
      <bottom style="medium">
        <color rgb="FF9F8AB9"/>
      </bottom>
      <diagonal/>
    </border>
    <border>
      <left/>
      <right/>
      <top/>
      <bottom style="medium">
        <color rgb="FF9F8AB9"/>
      </bottom>
      <diagonal/>
    </border>
    <border>
      <left/>
      <right style="medium">
        <color rgb="FF9F8AB9"/>
      </right>
      <top/>
      <bottom style="medium">
        <color rgb="FF9F8AB9"/>
      </bottom>
      <diagonal/>
    </border>
    <border>
      <left style="medium">
        <color rgb="FF9F8AB9"/>
      </left>
      <right/>
      <top style="medium">
        <color rgb="FF9F8AB9"/>
      </top>
      <bottom/>
      <diagonal/>
    </border>
    <border>
      <left/>
      <right style="medium">
        <color rgb="FF9F8AB9"/>
      </right>
      <top style="medium">
        <color rgb="FF9F8AB9"/>
      </top>
      <bottom/>
      <diagonal/>
    </border>
    <border>
      <left/>
      <right/>
      <top style="medium">
        <color rgb="FF9F8AB9"/>
      </top>
      <bottom/>
      <diagonal/>
    </border>
    <border>
      <left style="medium">
        <color rgb="FF9F8AB9"/>
      </left>
      <right/>
      <top/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6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8" fillId="12" borderId="0" applyNumberFormat="0" applyBorder="0" applyAlignment="0" applyProtection="0"/>
    <xf numFmtId="0" fontId="45" fillId="14" borderId="0" applyNumberFormat="0">
      <alignment vertical="center"/>
    </xf>
    <xf numFmtId="0" fontId="7" fillId="14" borderId="0" applyNumberFormat="0">
      <alignment horizontal="centerContinuous" vertical="top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7" fillId="0" borderId="39" applyNumberFormat="0" applyAlignment="0">
      <alignment vertical="center"/>
    </xf>
    <xf numFmtId="0" fontId="63" fillId="0" borderId="0"/>
  </cellStyleXfs>
  <cellXfs count="818">
    <xf numFmtId="0" fontId="0" fillId="0" borderId="0" xfId="0"/>
    <xf numFmtId="0" fontId="9" fillId="0" borderId="0" xfId="0" applyFont="1" applyAlignment="1">
      <alignment horizontal="center" vertical="center"/>
    </xf>
    <xf numFmtId="17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0" fillId="10" borderId="27" xfId="0" applyNumberFormat="1" applyFill="1" applyBorder="1"/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/>
    <xf numFmtId="0" fontId="13" fillId="0" borderId="3" xfId="4" applyFont="1" applyBorder="1" applyAlignment="1">
      <alignment horizontal="center" vertical="center"/>
    </xf>
    <xf numFmtId="9" fontId="13" fillId="0" borderId="3" xfId="4" applyNumberFormat="1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168" fontId="12" fillId="0" borderId="3" xfId="4" applyNumberFormat="1" applyFont="1" applyBorder="1" applyAlignment="1">
      <alignment horizontal="left" vertical="center" wrapText="1"/>
    </xf>
    <xf numFmtId="39" fontId="12" fillId="0" borderId="3" xfId="21" applyNumberFormat="1" applyFont="1" applyFill="1" applyBorder="1" applyAlignment="1">
      <alignment horizontal="center" vertical="center"/>
    </xf>
    <xf numFmtId="39" fontId="14" fillId="0" borderId="0" xfId="4" applyNumberFormat="1" applyFont="1"/>
    <xf numFmtId="168" fontId="12" fillId="0" borderId="3" xfId="4" applyNumberFormat="1" applyFont="1" applyBorder="1" applyAlignment="1">
      <alignment horizontal="center" vertical="center"/>
    </xf>
    <xf numFmtId="4" fontId="1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4" fontId="14" fillId="0" borderId="0" xfId="4" applyNumberFormat="1" applyFont="1"/>
    <xf numFmtId="173" fontId="13" fillId="0" borderId="3" xfId="21" applyNumberFormat="1" applyFont="1" applyFill="1" applyBorder="1" applyAlignment="1">
      <alignment horizontal="center" vertical="center"/>
    </xf>
    <xf numFmtId="165" fontId="14" fillId="0" borderId="0" xfId="4" applyNumberFormat="1" applyFont="1"/>
    <xf numFmtId="168" fontId="13" fillId="0" borderId="3" xfId="4" applyNumberFormat="1" applyFont="1" applyBorder="1" applyAlignment="1">
      <alignment horizontal="center" vertical="center"/>
    </xf>
    <xf numFmtId="168" fontId="13" fillId="0" borderId="3" xfId="4" applyNumberFormat="1" applyFont="1" applyBorder="1" applyAlignment="1">
      <alignment horizontal="left" vertical="center" wrapText="1"/>
    </xf>
    <xf numFmtId="39" fontId="13" fillId="0" borderId="3" xfId="21" applyNumberFormat="1" applyFont="1" applyFill="1" applyBorder="1" applyAlignment="1">
      <alignment horizontal="center" vertical="center"/>
    </xf>
    <xf numFmtId="0" fontId="2" fillId="0" borderId="0" xfId="4" applyFont="1"/>
    <xf numFmtId="0" fontId="8" fillId="0" borderId="0" xfId="4" applyFont="1"/>
    <xf numFmtId="165" fontId="14" fillId="0" borderId="0" xfId="21" applyFont="1" applyFill="1"/>
    <xf numFmtId="0" fontId="13" fillId="0" borderId="3" xfId="4" applyFont="1" applyBorder="1" applyAlignment="1">
      <alignment horizontal="left" vertical="center" wrapText="1"/>
    </xf>
    <xf numFmtId="4" fontId="12" fillId="0" borderId="3" xfId="4" applyNumberFormat="1" applyFont="1" applyBorder="1" applyAlignment="1">
      <alignment horizontal="left" vertical="center" wrapText="1"/>
    </xf>
    <xf numFmtId="0" fontId="15" fillId="0" borderId="0" xfId="4" applyFont="1"/>
    <xf numFmtId="39" fontId="15" fillId="0" borderId="0" xfId="4" applyNumberFormat="1" applyFont="1"/>
    <xf numFmtId="49" fontId="13" fillId="0" borderId="3" xfId="4" applyNumberFormat="1" applyFont="1" applyBorder="1" applyAlignment="1">
      <alignment horizontal="left" vertical="center" wrapText="1"/>
    </xf>
    <xf numFmtId="165" fontId="14" fillId="0" borderId="0" xfId="21" applyFont="1"/>
    <xf numFmtId="174" fontId="14" fillId="0" borderId="0" xfId="4" applyNumberFormat="1" applyFont="1"/>
    <xf numFmtId="165" fontId="14" fillId="0" borderId="0" xfId="23" applyFont="1"/>
    <xf numFmtId="39" fontId="12" fillId="11" borderId="3" xfId="21" applyNumberFormat="1" applyFont="1" applyFill="1" applyBorder="1" applyAlignment="1">
      <alignment horizontal="center" vertical="center"/>
    </xf>
    <xf numFmtId="9" fontId="19" fillId="2" borderId="3" xfId="1" applyFont="1" applyFill="1" applyBorder="1" applyProtection="1"/>
    <xf numFmtId="0" fontId="21" fillId="2" borderId="0" xfId="0" applyFont="1" applyFill="1"/>
    <xf numFmtId="0" fontId="23" fillId="6" borderId="3" xfId="0" applyFont="1" applyFill="1" applyBorder="1" applyAlignment="1">
      <alignment horizontal="center" vertical="center" wrapText="1"/>
    </xf>
    <xf numFmtId="1" fontId="27" fillId="6" borderId="3" xfId="0" applyNumberFormat="1" applyFont="1" applyFill="1" applyBorder="1" applyAlignment="1">
      <alignment horizontal="center" vertical="center"/>
    </xf>
    <xf numFmtId="0" fontId="21" fillId="5" borderId="0" xfId="0" applyFont="1" applyFill="1"/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3" fontId="20" fillId="2" borderId="3" xfId="0" applyNumberFormat="1" applyFont="1" applyFill="1" applyBorder="1" applyAlignment="1">
      <alignment horizontal="center" vertical="center"/>
    </xf>
    <xf numFmtId="3" fontId="20" fillId="2" borderId="0" xfId="0" applyNumberFormat="1" applyFont="1" applyFill="1"/>
    <xf numFmtId="166" fontId="20" fillId="2" borderId="3" xfId="1" applyNumberFormat="1" applyFont="1" applyFill="1" applyBorder="1" applyAlignment="1">
      <alignment horizontal="center" vertical="center"/>
    </xf>
    <xf numFmtId="0" fontId="21" fillId="2" borderId="0" xfId="4" applyFont="1" applyFill="1"/>
    <xf numFmtId="0" fontId="20" fillId="5" borderId="0" xfId="0" applyFont="1" applyFill="1"/>
    <xf numFmtId="1" fontId="27" fillId="6" borderId="3" xfId="0" applyNumberFormat="1" applyFont="1" applyFill="1" applyBorder="1" applyAlignment="1">
      <alignment horizontal="center" vertical="center" wrapText="1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wrapText="1"/>
    </xf>
    <xf numFmtId="0" fontId="20" fillId="2" borderId="0" xfId="4" applyFont="1" applyFill="1"/>
    <xf numFmtId="0" fontId="33" fillId="2" borderId="0" xfId="4" applyFont="1" applyFill="1" applyAlignment="1">
      <alignment horizontal="center" vertical="center"/>
    </xf>
    <xf numFmtId="0" fontId="33" fillId="2" borderId="0" xfId="4" applyFont="1" applyFill="1" applyAlignment="1">
      <alignment horizontal="center" vertical="center" wrapText="1"/>
    </xf>
    <xf numFmtId="0" fontId="19" fillId="2" borderId="0" xfId="8" applyFont="1" applyFill="1" applyAlignment="1">
      <alignment horizontal="center" vertical="center"/>
    </xf>
    <xf numFmtId="0" fontId="19" fillId="2" borderId="3" xfId="8" applyFont="1" applyFill="1" applyBorder="1" applyAlignment="1">
      <alignment horizontal="left" vertical="center" wrapText="1"/>
    </xf>
    <xf numFmtId="0" fontId="19" fillId="2" borderId="11" xfId="8" applyFont="1" applyFill="1" applyBorder="1" applyAlignment="1">
      <alignment horizontal="center" vertical="center" wrapText="1"/>
    </xf>
    <xf numFmtId="0" fontId="19" fillId="2" borderId="3" xfId="8" applyFont="1" applyFill="1" applyBorder="1" applyAlignment="1">
      <alignment horizontal="center" vertical="center" wrapText="1"/>
    </xf>
    <xf numFmtId="4" fontId="33" fillId="2" borderId="3" xfId="4" applyNumberFormat="1" applyFont="1" applyFill="1" applyBorder="1" applyAlignment="1">
      <alignment horizontal="center" vertical="center"/>
    </xf>
    <xf numFmtId="4" fontId="33" fillId="2" borderId="3" xfId="4" applyNumberFormat="1" applyFont="1" applyFill="1" applyBorder="1" applyAlignment="1">
      <alignment horizontal="center" vertical="center" wrapText="1"/>
    </xf>
    <xf numFmtId="3" fontId="33" fillId="2" borderId="3" xfId="4" applyNumberFormat="1" applyFont="1" applyFill="1" applyBorder="1" applyAlignment="1">
      <alignment horizontal="center" vertical="center"/>
    </xf>
    <xf numFmtId="3" fontId="33" fillId="2" borderId="3" xfId="4" applyNumberFormat="1" applyFont="1" applyFill="1" applyBorder="1" applyAlignment="1">
      <alignment horizontal="center" vertical="center" wrapText="1"/>
    </xf>
    <xf numFmtId="3" fontId="20" fillId="5" borderId="0" xfId="0" applyNumberFormat="1" applyFont="1" applyFill="1"/>
    <xf numFmtId="3" fontId="19" fillId="2" borderId="0" xfId="8" applyNumberFormat="1" applyFont="1" applyFill="1" applyAlignment="1">
      <alignment horizontal="center" vertical="center"/>
    </xf>
    <xf numFmtId="3" fontId="19" fillId="2" borderId="3" xfId="8" applyNumberFormat="1" applyFont="1" applyFill="1" applyBorder="1" applyAlignment="1">
      <alignment horizontal="left" vertical="center" wrapText="1"/>
    </xf>
    <xf numFmtId="3" fontId="19" fillId="2" borderId="11" xfId="8" applyNumberFormat="1" applyFont="1" applyFill="1" applyBorder="1" applyAlignment="1">
      <alignment horizontal="center" vertical="center" wrapText="1"/>
    </xf>
    <xf numFmtId="3" fontId="19" fillId="2" borderId="3" xfId="8" applyNumberFormat="1" applyFont="1" applyFill="1" applyBorder="1" applyAlignment="1">
      <alignment horizontal="center" vertical="center" wrapText="1"/>
    </xf>
    <xf numFmtId="3" fontId="20" fillId="2" borderId="0" xfId="4" applyNumberFormat="1" applyFont="1" applyFill="1"/>
    <xf numFmtId="0" fontId="34" fillId="2" borderId="3" xfId="8" applyFont="1" applyFill="1" applyBorder="1" applyAlignment="1">
      <alignment horizontal="left" vertical="center" wrapText="1"/>
    </xf>
    <xf numFmtId="0" fontId="34" fillId="2" borderId="11" xfId="8" applyFont="1" applyFill="1" applyBorder="1" applyAlignment="1">
      <alignment horizontal="center" vertical="center" wrapText="1"/>
    </xf>
    <xf numFmtId="0" fontId="34" fillId="2" borderId="3" xfId="8" applyFont="1" applyFill="1" applyBorder="1" applyAlignment="1">
      <alignment horizontal="center" vertical="center" wrapText="1"/>
    </xf>
    <xf numFmtId="168" fontId="33" fillId="2" borderId="3" xfId="4" applyNumberFormat="1" applyFont="1" applyFill="1" applyBorder="1" applyAlignment="1">
      <alignment horizontal="center" vertical="center"/>
    </xf>
    <xf numFmtId="0" fontId="24" fillId="5" borderId="0" xfId="0" applyFont="1" applyFill="1"/>
    <xf numFmtId="0" fontId="26" fillId="2" borderId="3" xfId="8" applyFont="1" applyFill="1" applyBorder="1" applyAlignment="1">
      <alignment horizontal="left" vertical="center" wrapText="1"/>
    </xf>
    <xf numFmtId="0" fontId="26" fillId="2" borderId="11" xfId="8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center" vertical="center" wrapText="1"/>
    </xf>
    <xf numFmtId="4" fontId="34" fillId="2" borderId="3" xfId="4" applyNumberFormat="1" applyFont="1" applyFill="1" applyBorder="1" applyAlignment="1">
      <alignment horizontal="center" vertical="center"/>
    </xf>
    <xf numFmtId="4" fontId="34" fillId="2" borderId="3" xfId="4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4" fontId="33" fillId="2" borderId="3" xfId="11" applyNumberFormat="1" applyFont="1" applyFill="1" applyBorder="1" applyAlignment="1">
      <alignment horizontal="center" vertical="center"/>
    </xf>
    <xf numFmtId="0" fontId="26" fillId="2" borderId="11" xfId="8" applyFont="1" applyFill="1" applyBorder="1" applyAlignment="1">
      <alignment horizontal="center" vertical="center"/>
    </xf>
    <xf numFmtId="0" fontId="19" fillId="2" borderId="11" xfId="8" applyFont="1" applyFill="1" applyBorder="1" applyAlignment="1">
      <alignment horizontal="center" vertical="center"/>
    </xf>
    <xf numFmtId="172" fontId="33" fillId="2" borderId="3" xfId="4" applyNumberFormat="1" applyFont="1" applyFill="1" applyBorder="1" applyAlignment="1">
      <alignment horizontal="center" vertical="center"/>
    </xf>
    <xf numFmtId="172" fontId="33" fillId="2" borderId="3" xfId="4" applyNumberFormat="1" applyFont="1" applyFill="1" applyBorder="1" applyAlignment="1">
      <alignment horizontal="center" vertical="center" wrapText="1"/>
    </xf>
    <xf numFmtId="168" fontId="33" fillId="2" borderId="3" xfId="4" applyNumberFormat="1" applyFont="1" applyFill="1" applyBorder="1" applyAlignment="1">
      <alignment horizontal="center" vertical="center" wrapText="1"/>
    </xf>
    <xf numFmtId="0" fontId="33" fillId="2" borderId="3" xfId="4" applyFont="1" applyFill="1" applyBorder="1" applyAlignment="1">
      <alignment horizontal="left" vertical="center"/>
    </xf>
    <xf numFmtId="0" fontId="33" fillId="2" borderId="11" xfId="4" applyFont="1" applyFill="1" applyBorder="1" applyAlignment="1">
      <alignment horizontal="center" vertical="center"/>
    </xf>
    <xf numFmtId="0" fontId="33" fillId="2" borderId="3" xfId="4" applyFont="1" applyFill="1" applyBorder="1" applyAlignment="1">
      <alignment horizontal="center" vertical="center" wrapText="1"/>
    </xf>
    <xf numFmtId="0" fontId="33" fillId="2" borderId="11" xfId="4" applyFont="1" applyFill="1" applyBorder="1" applyAlignment="1">
      <alignment horizontal="center" vertical="center" wrapText="1"/>
    </xf>
    <xf numFmtId="168" fontId="20" fillId="2" borderId="0" xfId="4" applyNumberFormat="1" applyFont="1" applyFill="1"/>
    <xf numFmtId="0" fontId="20" fillId="2" borderId="3" xfId="4" applyFont="1" applyFill="1" applyBorder="1" applyAlignment="1">
      <alignment wrapText="1"/>
    </xf>
    <xf numFmtId="0" fontId="20" fillId="2" borderId="11" xfId="4" applyFont="1" applyFill="1" applyBorder="1" applyAlignment="1">
      <alignment wrapText="1"/>
    </xf>
    <xf numFmtId="0" fontId="20" fillId="2" borderId="3" xfId="4" applyFont="1" applyFill="1" applyBorder="1"/>
    <xf numFmtId="0" fontId="20" fillId="2" borderId="11" xfId="4" applyFont="1" applyFill="1" applyBorder="1"/>
    <xf numFmtId="3" fontId="20" fillId="2" borderId="3" xfId="4" applyNumberFormat="1" applyFont="1" applyFill="1" applyBorder="1"/>
    <xf numFmtId="3" fontId="20" fillId="2" borderId="3" xfId="4" applyNumberFormat="1" applyFont="1" applyFill="1" applyBorder="1" applyAlignment="1">
      <alignment wrapText="1"/>
    </xf>
    <xf numFmtId="0" fontId="24" fillId="2" borderId="3" xfId="4" applyFont="1" applyFill="1" applyBorder="1" applyAlignment="1">
      <alignment wrapText="1"/>
    </xf>
    <xf numFmtId="0" fontId="24" fillId="2" borderId="11" xfId="4" applyFont="1" applyFill="1" applyBorder="1" applyAlignment="1">
      <alignment wrapText="1"/>
    </xf>
    <xf numFmtId="0" fontId="24" fillId="2" borderId="3" xfId="4" applyFont="1" applyFill="1" applyBorder="1"/>
    <xf numFmtId="0" fontId="24" fillId="2" borderId="11" xfId="4" applyFont="1" applyFill="1" applyBorder="1"/>
    <xf numFmtId="3" fontId="24" fillId="2" borderId="3" xfId="4" applyNumberFormat="1" applyFont="1" applyFill="1" applyBorder="1"/>
    <xf numFmtId="3" fontId="20" fillId="2" borderId="0" xfId="4" applyNumberFormat="1" applyFont="1" applyFill="1" applyAlignment="1">
      <alignment wrapText="1"/>
    </xf>
    <xf numFmtId="168" fontId="33" fillId="2" borderId="0" xfId="4" applyNumberFormat="1" applyFont="1" applyFill="1" applyAlignment="1">
      <alignment horizontal="center" vertical="center"/>
    </xf>
    <xf numFmtId="168" fontId="33" fillId="2" borderId="0" xfId="4" applyNumberFormat="1" applyFont="1" applyFill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/>
    </xf>
    <xf numFmtId="0" fontId="33" fillId="2" borderId="12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left" vertical="center"/>
    </xf>
    <xf numFmtId="0" fontId="19" fillId="2" borderId="11" xfId="4" applyFont="1" applyFill="1" applyBorder="1" applyAlignment="1">
      <alignment horizontal="center" vertical="center"/>
    </xf>
    <xf numFmtId="0" fontId="33" fillId="2" borderId="3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left" vertical="center"/>
    </xf>
    <xf numFmtId="0" fontId="35" fillId="2" borderId="3" xfId="4" applyFont="1" applyFill="1" applyBorder="1" applyAlignment="1">
      <alignment horizontal="center" vertical="center"/>
    </xf>
    <xf numFmtId="0" fontId="35" fillId="2" borderId="11" xfId="4" applyFont="1" applyFill="1" applyBorder="1" applyAlignment="1">
      <alignment horizontal="center" vertical="center"/>
    </xf>
    <xf numFmtId="0" fontId="35" fillId="2" borderId="0" xfId="4" applyFont="1" applyFill="1" applyAlignment="1">
      <alignment horizontal="left" vertical="center"/>
    </xf>
    <xf numFmtId="0" fontId="35" fillId="2" borderId="0" xfId="4" applyFont="1" applyFill="1" applyAlignment="1">
      <alignment horizontal="center" vertical="center"/>
    </xf>
    <xf numFmtId="168" fontId="33" fillId="2" borderId="6" xfId="4" applyNumberFormat="1" applyFont="1" applyFill="1" applyBorder="1" applyAlignment="1">
      <alignment horizontal="center" vertical="center"/>
    </xf>
    <xf numFmtId="168" fontId="33" fillId="2" borderId="6" xfId="4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19" fillId="2" borderId="3" xfId="4" applyFont="1" applyFill="1" applyBorder="1" applyAlignment="1">
      <alignment horizontal="right" vertical="center"/>
    </xf>
    <xf numFmtId="0" fontId="33" fillId="2" borderId="3" xfId="4" applyFont="1" applyFill="1" applyBorder="1" applyAlignment="1">
      <alignment horizontal="left" vertical="center" wrapText="1"/>
    </xf>
    <xf numFmtId="0" fontId="36" fillId="2" borderId="11" xfId="4" applyFont="1" applyFill="1" applyBorder="1" applyAlignment="1">
      <alignment horizontal="center" vertical="center"/>
    </xf>
    <xf numFmtId="168" fontId="19" fillId="2" borderId="3" xfId="4" applyNumberFormat="1" applyFont="1" applyFill="1" applyBorder="1" applyAlignment="1">
      <alignment horizontal="center" vertical="center"/>
    </xf>
    <xf numFmtId="168" fontId="19" fillId="2" borderId="3" xfId="4" applyNumberFormat="1" applyFont="1" applyFill="1" applyBorder="1" applyAlignment="1">
      <alignment horizontal="center" vertical="center" wrapText="1"/>
    </xf>
    <xf numFmtId="0" fontId="33" fillId="2" borderId="2" xfId="4" applyFont="1" applyFill="1" applyBorder="1" applyAlignment="1">
      <alignment horizontal="left" vertical="center"/>
    </xf>
    <xf numFmtId="0" fontId="19" fillId="2" borderId="6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168" fontId="33" fillId="2" borderId="5" xfId="4" applyNumberFormat="1" applyFont="1" applyFill="1" applyBorder="1" applyAlignment="1">
      <alignment horizontal="center" vertical="center"/>
    </xf>
    <xf numFmtId="168" fontId="33" fillId="2" borderId="5" xfId="4" applyNumberFormat="1" applyFont="1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 wrapText="1"/>
    </xf>
    <xf numFmtId="0" fontId="33" fillId="2" borderId="35" xfId="4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8" fontId="33" fillId="2" borderId="2" xfId="4" applyNumberFormat="1" applyFont="1" applyFill="1" applyBorder="1" applyAlignment="1">
      <alignment horizontal="center" vertical="center" wrapText="1"/>
    </xf>
    <xf numFmtId="168" fontId="33" fillId="2" borderId="2" xfId="4" applyNumberFormat="1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left" vertical="center" wrapText="1"/>
    </xf>
    <xf numFmtId="0" fontId="26" fillId="2" borderId="3" xfId="4" applyFont="1" applyFill="1" applyBorder="1" applyAlignment="1">
      <alignment horizontal="center" vertical="center" wrapText="1"/>
    </xf>
    <xf numFmtId="0" fontId="26" fillId="2" borderId="11" xfId="4" applyFont="1" applyFill="1" applyBorder="1" applyAlignment="1">
      <alignment horizontal="center" vertical="center" wrapText="1"/>
    </xf>
    <xf numFmtId="0" fontId="34" fillId="2" borderId="11" xfId="4" applyFont="1" applyFill="1" applyBorder="1" applyAlignment="1">
      <alignment horizontal="center" vertical="center"/>
    </xf>
    <xf numFmtId="3" fontId="34" fillId="2" borderId="3" xfId="4" applyNumberFormat="1" applyFont="1" applyFill="1" applyBorder="1" applyAlignment="1">
      <alignment horizontal="center" vertical="center"/>
    </xf>
    <xf numFmtId="3" fontId="34" fillId="2" borderId="3" xfId="4" applyNumberFormat="1" applyFont="1" applyFill="1" applyBorder="1" applyAlignment="1">
      <alignment horizontal="center" vertical="center" wrapText="1"/>
    </xf>
    <xf numFmtId="0" fontId="26" fillId="2" borderId="0" xfId="4" applyFont="1" applyFill="1" applyAlignment="1">
      <alignment horizontal="center" vertical="center" wrapText="1"/>
    </xf>
    <xf numFmtId="0" fontId="34" fillId="2" borderId="3" xfId="4" applyFont="1" applyFill="1" applyBorder="1" applyAlignment="1">
      <alignment horizontal="center" vertical="center"/>
    </xf>
    <xf numFmtId="0" fontId="34" fillId="2" borderId="0" xfId="4" applyFont="1" applyFill="1" applyAlignment="1">
      <alignment horizontal="center" vertical="center"/>
    </xf>
    <xf numFmtId="0" fontId="33" fillId="2" borderId="6" xfId="4" applyFont="1" applyFill="1" applyBorder="1" applyAlignment="1">
      <alignment horizontal="center" vertical="center"/>
    </xf>
    <xf numFmtId="0" fontId="20" fillId="2" borderId="0" xfId="4" applyFont="1" applyFill="1" applyAlignment="1">
      <alignment wrapText="1"/>
    </xf>
    <xf numFmtId="0" fontId="21" fillId="2" borderId="0" xfId="4" applyFont="1" applyFill="1" applyAlignment="1">
      <alignment wrapText="1"/>
    </xf>
    <xf numFmtId="3" fontId="20" fillId="3" borderId="3" xfId="4" applyNumberFormat="1" applyFont="1" applyFill="1" applyBorder="1"/>
    <xf numFmtId="0" fontId="37" fillId="2" borderId="0" xfId="0" applyFont="1" applyFill="1"/>
    <xf numFmtId="0" fontId="38" fillId="2" borderId="0" xfId="0" applyFont="1" applyFill="1"/>
    <xf numFmtId="0" fontId="37" fillId="2" borderId="0" xfId="0" applyFont="1" applyFill="1" applyAlignment="1">
      <alignment vertical="center" wrapText="1"/>
    </xf>
    <xf numFmtId="165" fontId="37" fillId="2" borderId="0" xfId="23" applyFont="1" applyFill="1"/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165" fontId="19" fillId="2" borderId="0" xfId="23" applyFont="1" applyFill="1"/>
    <xf numFmtId="0" fontId="26" fillId="2" borderId="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165" fontId="41" fillId="2" borderId="0" xfId="23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1" fontId="40" fillId="6" borderId="3" xfId="0" applyNumberFormat="1" applyFont="1" applyFill="1" applyBorder="1" applyAlignment="1">
      <alignment horizontal="center" vertical="center"/>
    </xf>
    <xf numFmtId="1" fontId="40" fillId="6" borderId="10" xfId="0" applyNumberFormat="1" applyFont="1" applyFill="1" applyBorder="1" applyAlignment="1">
      <alignment horizontal="center" vertical="center"/>
    </xf>
    <xf numFmtId="1" fontId="40" fillId="2" borderId="0" xfId="0" applyNumberFormat="1" applyFont="1" applyFill="1" applyAlignment="1">
      <alignment horizontal="center" vertical="center" wrapText="1"/>
    </xf>
    <xf numFmtId="1" fontId="40" fillId="2" borderId="0" xfId="0" applyNumberFormat="1" applyFont="1" applyFill="1" applyAlignment="1">
      <alignment horizontal="center" vertical="center"/>
    </xf>
    <xf numFmtId="165" fontId="40" fillId="2" borderId="0" xfId="23" applyFont="1" applyFill="1" applyAlignment="1">
      <alignment horizontal="center" vertical="center"/>
    </xf>
    <xf numFmtId="0" fontId="37" fillId="5" borderId="0" xfId="0" applyFont="1" applyFill="1"/>
    <xf numFmtId="0" fontId="38" fillId="2" borderId="0" xfId="0" applyFont="1" applyFill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vertical="center" wrapText="1"/>
    </xf>
    <xf numFmtId="3" fontId="19" fillId="3" borderId="3" xfId="0" applyNumberFormat="1" applyFont="1" applyFill="1" applyBorder="1" applyAlignment="1">
      <alignment vertical="center" wrapText="1"/>
    </xf>
    <xf numFmtId="3" fontId="19" fillId="2" borderId="0" xfId="0" applyNumberFormat="1" applyFont="1" applyFill="1" applyAlignment="1">
      <alignment vertical="center" wrapText="1"/>
    </xf>
    <xf numFmtId="3" fontId="19" fillId="2" borderId="0" xfId="0" applyNumberFormat="1" applyFont="1" applyFill="1" applyAlignment="1">
      <alignment vertical="center"/>
    </xf>
    <xf numFmtId="165" fontId="19" fillId="2" borderId="0" xfId="23" applyFont="1" applyFill="1" applyAlignment="1">
      <alignment vertical="center"/>
    </xf>
    <xf numFmtId="166" fontId="35" fillId="2" borderId="0" xfId="1" applyNumberFormat="1" applyFont="1" applyFill="1" applyBorder="1" applyAlignment="1">
      <alignment vertical="center"/>
    </xf>
    <xf numFmtId="165" fontId="35" fillId="2" borderId="0" xfId="23" applyFont="1" applyFill="1" applyBorder="1" applyAlignment="1">
      <alignment vertical="center"/>
    </xf>
    <xf numFmtId="9" fontId="19" fillId="2" borderId="0" xfId="1" applyFont="1" applyFill="1" applyBorder="1" applyAlignment="1">
      <alignment horizontal="center" vertical="center"/>
    </xf>
    <xf numFmtId="0" fontId="26" fillId="2" borderId="0" xfId="0" applyFont="1" applyFill="1"/>
    <xf numFmtId="9" fontId="26" fillId="2" borderId="0" xfId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vertical="center"/>
    </xf>
    <xf numFmtId="165" fontId="26" fillId="2" borderId="0" xfId="23" applyFont="1" applyFill="1" applyAlignment="1">
      <alignment vertical="center"/>
    </xf>
    <xf numFmtId="0" fontId="39" fillId="2" borderId="0" xfId="0" applyFont="1" applyFill="1"/>
    <xf numFmtId="165" fontId="19" fillId="2" borderId="0" xfId="0" applyNumberFormat="1" applyFont="1" applyFill="1"/>
    <xf numFmtId="0" fontId="41" fillId="2" borderId="3" xfId="0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3" fontId="19" fillId="3" borderId="3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39" fontId="19" fillId="2" borderId="0" xfId="0" applyNumberFormat="1" applyFont="1" applyFill="1"/>
    <xf numFmtId="0" fontId="26" fillId="0" borderId="18" xfId="0" applyFont="1" applyBorder="1" applyAlignment="1">
      <alignment vertical="top" wrapText="1"/>
    </xf>
    <xf numFmtId="0" fontId="26" fillId="2" borderId="18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vertical="top" wrapText="1"/>
    </xf>
    <xf numFmtId="4" fontId="26" fillId="2" borderId="0" xfId="0" applyNumberFormat="1" applyFont="1" applyFill="1" applyAlignment="1">
      <alignment vertical="top" wrapText="1"/>
    </xf>
    <xf numFmtId="0" fontId="20" fillId="2" borderId="22" xfId="0" applyFont="1" applyFill="1" applyBorder="1"/>
    <xf numFmtId="166" fontId="43" fillId="2" borderId="21" xfId="0" applyNumberFormat="1" applyFont="1" applyFill="1" applyBorder="1" applyAlignment="1">
      <alignment horizontal="right" vertical="top" wrapText="1"/>
    </xf>
    <xf numFmtId="166" fontId="43" fillId="2" borderId="14" xfId="1" applyNumberFormat="1" applyFont="1" applyFill="1" applyBorder="1" applyAlignment="1">
      <alignment vertical="top" wrapText="1"/>
    </xf>
    <xf numFmtId="10" fontId="43" fillId="2" borderId="14" xfId="1" applyNumberFormat="1" applyFont="1" applyFill="1" applyBorder="1" applyAlignment="1">
      <alignment horizontal="right" vertical="top" wrapText="1"/>
    </xf>
    <xf numFmtId="10" fontId="43" fillId="2" borderId="15" xfId="1" applyNumberFormat="1" applyFont="1" applyFill="1" applyBorder="1" applyAlignment="1">
      <alignment horizontal="right" vertical="top" wrapText="1"/>
    </xf>
    <xf numFmtId="166" fontId="43" fillId="2" borderId="15" xfId="1" applyNumberFormat="1" applyFont="1" applyFill="1" applyBorder="1" applyAlignment="1">
      <alignment horizontal="right" vertical="top" wrapText="1"/>
    </xf>
    <xf numFmtId="0" fontId="43" fillId="2" borderId="25" xfId="0" applyFont="1" applyFill="1" applyBorder="1"/>
    <xf numFmtId="0" fontId="20" fillId="2" borderId="21" xfId="0" applyFont="1" applyFill="1" applyBorder="1" applyAlignment="1">
      <alignment vertical="top" wrapText="1"/>
    </xf>
    <xf numFmtId="0" fontId="43" fillId="2" borderId="14" xfId="0" applyFont="1" applyFill="1" applyBorder="1" applyAlignment="1">
      <alignment horizontal="right" vertical="top" wrapText="1"/>
    </xf>
    <xf numFmtId="0" fontId="26" fillId="2" borderId="0" xfId="0" applyFont="1" applyFill="1" applyAlignment="1">
      <alignment horizontal="left" vertical="top" wrapText="1"/>
    </xf>
    <xf numFmtId="0" fontId="26" fillId="2" borderId="2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10" fontId="43" fillId="2" borderId="0" xfId="1" applyNumberFormat="1" applyFont="1" applyFill="1" applyBorder="1" applyAlignment="1">
      <alignment horizontal="right" vertical="top" wrapText="1"/>
    </xf>
    <xf numFmtId="166" fontId="43" fillId="2" borderId="0" xfId="1" applyNumberFormat="1" applyFont="1" applyFill="1" applyBorder="1" applyAlignment="1">
      <alignment horizontal="right" vertical="top" wrapText="1"/>
    </xf>
    <xf numFmtId="0" fontId="43" fillId="2" borderId="22" xfId="0" applyFont="1" applyFill="1" applyBorder="1"/>
    <xf numFmtId="166" fontId="43" fillId="2" borderId="0" xfId="1" applyNumberFormat="1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vertical="top" wrapText="1"/>
    </xf>
    <xf numFmtId="0" fontId="26" fillId="2" borderId="21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4" fontId="26" fillId="2" borderId="22" xfId="0" applyNumberFormat="1" applyFont="1" applyFill="1" applyBorder="1" applyAlignment="1">
      <alignment vertical="top" wrapText="1"/>
    </xf>
    <xf numFmtId="166" fontId="43" fillId="2" borderId="17" xfId="1" applyNumberFormat="1" applyFont="1" applyFill="1" applyBorder="1" applyAlignment="1">
      <alignment horizontal="right" vertical="top" wrapText="1"/>
    </xf>
    <xf numFmtId="166" fontId="43" fillId="2" borderId="21" xfId="1" applyNumberFormat="1" applyFont="1" applyFill="1" applyBorder="1" applyAlignment="1">
      <alignment horizontal="right" vertical="top" wrapText="1"/>
    </xf>
    <xf numFmtId="166" fontId="43" fillId="2" borderId="22" xfId="1" applyNumberFormat="1" applyFont="1" applyFill="1" applyBorder="1" applyAlignment="1">
      <alignment horizontal="left" vertical="top" wrapText="1"/>
    </xf>
    <xf numFmtId="166" fontId="43" fillId="2" borderId="14" xfId="1" applyNumberFormat="1" applyFont="1" applyFill="1" applyBorder="1" applyAlignment="1">
      <alignment horizontal="center" vertical="top" wrapText="1"/>
    </xf>
    <xf numFmtId="0" fontId="26" fillId="2" borderId="20" xfId="0" applyFont="1" applyFill="1" applyBorder="1" applyAlignment="1">
      <alignment wrapText="1"/>
    </xf>
    <xf numFmtId="166" fontId="43" fillId="2" borderId="14" xfId="1" applyNumberFormat="1" applyFont="1" applyFill="1" applyBorder="1" applyAlignment="1">
      <alignment horizontal="right" vertical="top" wrapText="1"/>
    </xf>
    <xf numFmtId="0" fontId="19" fillId="2" borderId="14" xfId="0" applyFont="1" applyFill="1" applyBorder="1" applyAlignment="1">
      <alignment vertical="top" wrapText="1"/>
    </xf>
    <xf numFmtId="4" fontId="26" fillId="2" borderId="21" xfId="0" applyNumberFormat="1" applyFont="1" applyFill="1" applyBorder="1" applyAlignment="1">
      <alignment vertical="top" wrapText="1"/>
    </xf>
    <xf numFmtId="4" fontId="26" fillId="2" borderId="17" xfId="0" applyNumberFormat="1" applyFont="1" applyFill="1" applyBorder="1" applyAlignment="1">
      <alignment vertical="top" wrapText="1"/>
    </xf>
    <xf numFmtId="166" fontId="43" fillId="2" borderId="25" xfId="1" applyNumberFormat="1" applyFont="1" applyFill="1" applyBorder="1" applyAlignment="1">
      <alignment horizontal="right" vertical="top" wrapText="1"/>
    </xf>
    <xf numFmtId="0" fontId="20" fillId="2" borderId="14" xfId="0" applyFont="1" applyFill="1" applyBorder="1"/>
    <xf numFmtId="0" fontId="26" fillId="2" borderId="19" xfId="0" applyFont="1" applyFill="1" applyBorder="1" applyAlignment="1">
      <alignment wrapText="1"/>
    </xf>
    <xf numFmtId="0" fontId="26" fillId="2" borderId="20" xfId="0" applyFont="1" applyFill="1" applyBorder="1"/>
    <xf numFmtId="0" fontId="20" fillId="2" borderId="17" xfId="0" applyFont="1" applyFill="1" applyBorder="1"/>
    <xf numFmtId="166" fontId="43" fillId="2" borderId="24" xfId="1" applyNumberFormat="1" applyFont="1" applyFill="1" applyBorder="1" applyAlignment="1">
      <alignment horizontal="right" vertical="top" wrapText="1"/>
    </xf>
    <xf numFmtId="166" fontId="43" fillId="2" borderId="25" xfId="1" applyNumberFormat="1" applyFont="1" applyFill="1" applyBorder="1" applyAlignment="1">
      <alignment horizontal="left" vertical="top" wrapText="1"/>
    </xf>
    <xf numFmtId="166" fontId="43" fillId="2" borderId="24" xfId="1" applyNumberFormat="1" applyFont="1" applyFill="1" applyBorder="1" applyAlignment="1">
      <alignment horizontal="left" vertical="top" wrapText="1"/>
    </xf>
    <xf numFmtId="0" fontId="20" fillId="2" borderId="25" xfId="0" applyFont="1" applyFill="1" applyBorder="1"/>
    <xf numFmtId="0" fontId="21" fillId="5" borderId="0" xfId="0" applyFont="1" applyFill="1" applyAlignment="1">
      <alignment vertical="center" wrapText="1"/>
    </xf>
    <xf numFmtId="1" fontId="29" fillId="2" borderId="3" xfId="0" applyNumberFormat="1" applyFont="1" applyFill="1" applyBorder="1"/>
    <xf numFmtId="0" fontId="24" fillId="7" borderId="3" xfId="0" applyFont="1" applyFill="1" applyBorder="1" applyAlignment="1">
      <alignment horizontal="center" vertical="center" wrapText="1"/>
    </xf>
    <xf numFmtId="0" fontId="52" fillId="7" borderId="3" xfId="0" applyFont="1" applyFill="1" applyBorder="1" applyAlignment="1">
      <alignment horizontal="center" vertical="center" wrapText="1"/>
    </xf>
    <xf numFmtId="166" fontId="19" fillId="2" borderId="0" xfId="1" applyNumberFormat="1" applyFont="1" applyFill="1" applyAlignment="1">
      <alignment vertical="center" wrapText="1"/>
    </xf>
    <xf numFmtId="0" fontId="53" fillId="15" borderId="40" xfId="0" applyFont="1" applyFill="1" applyBorder="1" applyAlignment="1">
      <alignment horizontal="center" vertical="center" wrapText="1"/>
    </xf>
    <xf numFmtId="0" fontId="53" fillId="15" borderId="41" xfId="0" applyFont="1" applyFill="1" applyBorder="1" applyAlignment="1">
      <alignment horizontal="center" vertical="center" wrapText="1"/>
    </xf>
    <xf numFmtId="0" fontId="53" fillId="15" borderId="42" xfId="0" applyFont="1" applyFill="1" applyBorder="1" applyAlignment="1">
      <alignment horizontal="center" vertical="center" wrapText="1"/>
    </xf>
    <xf numFmtId="0" fontId="54" fillId="16" borderId="43" xfId="0" applyFont="1" applyFill="1" applyBorder="1" applyAlignment="1">
      <alignment horizontal="center" vertical="center"/>
    </xf>
    <xf numFmtId="3" fontId="54" fillId="16" borderId="44" xfId="0" applyNumberFormat="1" applyFont="1" applyFill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3" fontId="54" fillId="0" borderId="44" xfId="0" applyNumberFormat="1" applyFont="1" applyBorder="1" applyAlignment="1">
      <alignment horizontal="center" vertical="center"/>
    </xf>
    <xf numFmtId="0" fontId="55" fillId="15" borderId="41" xfId="0" applyFont="1" applyFill="1" applyBorder="1" applyAlignment="1">
      <alignment horizontal="center" vertical="center" wrapText="1"/>
    </xf>
    <xf numFmtId="0" fontId="56" fillId="16" borderId="44" xfId="0" applyFont="1" applyFill="1" applyBorder="1" applyAlignment="1">
      <alignment horizontal="center" vertical="center" wrapText="1"/>
    </xf>
    <xf numFmtId="0" fontId="55" fillId="16" borderId="45" xfId="0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right" vertical="center" wrapText="1"/>
    </xf>
    <xf numFmtId="3" fontId="22" fillId="0" borderId="44" xfId="0" applyNumberFormat="1" applyFont="1" applyBorder="1" applyAlignment="1">
      <alignment horizontal="right" vertical="center" wrapText="1"/>
    </xf>
    <xf numFmtId="3" fontId="22" fillId="0" borderId="44" xfId="0" applyNumberFormat="1" applyFont="1" applyBorder="1" applyAlignment="1">
      <alignment horizontal="center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0" fontId="55" fillId="16" borderId="43" xfId="0" applyFont="1" applyFill="1" applyBorder="1" applyAlignment="1">
      <alignment horizontal="right" vertical="center" wrapText="1"/>
    </xf>
    <xf numFmtId="3" fontId="54" fillId="16" borderId="44" xfId="0" applyNumberFormat="1" applyFont="1" applyFill="1" applyBorder="1" applyAlignment="1">
      <alignment horizontal="right" vertical="center" wrapText="1"/>
    </xf>
    <xf numFmtId="3" fontId="54" fillId="16" borderId="44" xfId="0" applyNumberFormat="1" applyFont="1" applyFill="1" applyBorder="1" applyAlignment="1">
      <alignment horizontal="center" vertical="center" wrapText="1"/>
    </xf>
    <xf numFmtId="0" fontId="55" fillId="15" borderId="40" xfId="0" applyFont="1" applyFill="1" applyBorder="1" applyAlignment="1">
      <alignment horizontal="center" vertical="center" wrapText="1"/>
    </xf>
    <xf numFmtId="0" fontId="55" fillId="15" borderId="42" xfId="0" applyFont="1" applyFill="1" applyBorder="1" applyAlignment="1">
      <alignment horizontal="center" vertical="center" wrapText="1"/>
    </xf>
    <xf numFmtId="3" fontId="54" fillId="16" borderId="45" xfId="0" applyNumberFormat="1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54" fillId="16" borderId="44" xfId="0" applyFont="1" applyFill="1" applyBorder="1" applyAlignment="1">
      <alignment horizontal="center" vertical="center" wrapText="1"/>
    </xf>
    <xf numFmtId="0" fontId="55" fillId="0" borderId="43" xfId="0" applyFont="1" applyBorder="1" applyAlignment="1">
      <alignment horizontal="right" vertical="center" wrapText="1"/>
    </xf>
    <xf numFmtId="0" fontId="54" fillId="0" borderId="44" xfId="0" applyFont="1" applyBorder="1" applyAlignment="1">
      <alignment horizontal="center" vertical="center" wrapText="1"/>
    </xf>
    <xf numFmtId="3" fontId="54" fillId="0" borderId="44" xfId="0" applyNumberFormat="1" applyFont="1" applyBorder="1" applyAlignment="1">
      <alignment horizontal="center" vertical="center" wrapText="1"/>
    </xf>
    <xf numFmtId="3" fontId="54" fillId="0" borderId="45" xfId="0" applyNumberFormat="1" applyFont="1" applyBorder="1" applyAlignment="1">
      <alignment horizontal="center" vertical="center" wrapText="1"/>
    </xf>
    <xf numFmtId="0" fontId="57" fillId="15" borderId="44" xfId="0" applyFont="1" applyFill="1" applyBorder="1" applyAlignment="1">
      <alignment horizontal="center" vertical="center" wrapText="1"/>
    </xf>
    <xf numFmtId="0" fontId="58" fillId="15" borderId="45" xfId="0" applyFont="1" applyFill="1" applyBorder="1" applyAlignment="1">
      <alignment horizontal="center" vertical="center" wrapText="1"/>
    </xf>
    <xf numFmtId="0" fontId="54" fillId="16" borderId="43" xfId="0" applyFont="1" applyFill="1" applyBorder="1" applyAlignment="1">
      <alignment vertical="center" wrapText="1"/>
    </xf>
    <xf numFmtId="0" fontId="55" fillId="16" borderId="44" xfId="0" applyFont="1" applyFill="1" applyBorder="1" applyAlignment="1">
      <alignment horizontal="center" vertical="center" wrapText="1"/>
    </xf>
    <xf numFmtId="0" fontId="54" fillId="16" borderId="43" xfId="0" applyFont="1" applyFill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3" fillId="15" borderId="40" xfId="0" applyFont="1" applyFill="1" applyBorder="1" applyAlignment="1">
      <alignment vertical="center" wrapText="1"/>
    </xf>
    <xf numFmtId="9" fontId="0" fillId="0" borderId="0" xfId="1" applyFont="1"/>
    <xf numFmtId="0" fontId="58" fillId="15" borderId="44" xfId="0" applyFont="1" applyFill="1" applyBorder="1" applyAlignment="1">
      <alignment horizontal="center" vertical="center" wrapText="1"/>
    </xf>
    <xf numFmtId="0" fontId="54" fillId="16" borderId="43" xfId="0" applyFont="1" applyFill="1" applyBorder="1" applyAlignment="1">
      <alignment horizontal="right" vertical="center" wrapText="1"/>
    </xf>
    <xf numFmtId="0" fontId="53" fillId="15" borderId="43" xfId="0" applyFont="1" applyFill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/>
    </xf>
    <xf numFmtId="0" fontId="55" fillId="16" borderId="44" xfId="0" applyFont="1" applyFill="1" applyBorder="1" applyAlignment="1">
      <alignment horizontal="center" vertical="center"/>
    </xf>
    <xf numFmtId="166" fontId="54" fillId="0" borderId="44" xfId="1" applyNumberFormat="1" applyFont="1" applyBorder="1" applyAlignment="1">
      <alignment horizontal="center" vertical="center"/>
    </xf>
    <xf numFmtId="166" fontId="54" fillId="16" borderId="44" xfId="1" applyNumberFormat="1" applyFont="1" applyFill="1" applyBorder="1" applyAlignment="1">
      <alignment horizontal="center" vertical="center"/>
    </xf>
    <xf numFmtId="3" fontId="54" fillId="0" borderId="45" xfId="0" applyNumberFormat="1" applyFont="1" applyBorder="1" applyAlignment="1">
      <alignment horizontal="center" vertical="center"/>
    </xf>
    <xf numFmtId="3" fontId="54" fillId="16" borderId="45" xfId="0" applyNumberFormat="1" applyFont="1" applyFill="1" applyBorder="1" applyAlignment="1">
      <alignment horizontal="center" vertical="center"/>
    </xf>
    <xf numFmtId="0" fontId="6" fillId="15" borderId="43" xfId="0" applyFont="1" applyFill="1" applyBorder="1" applyAlignment="1">
      <alignment vertical="top" wrapText="1"/>
    </xf>
    <xf numFmtId="0" fontId="22" fillId="0" borderId="45" xfId="0" applyFont="1" applyBorder="1" applyAlignment="1">
      <alignment horizontal="center" vertical="center" wrapText="1"/>
    </xf>
    <xf numFmtId="0" fontId="62" fillId="16" borderId="44" xfId="0" applyFont="1" applyFill="1" applyBorder="1" applyAlignment="1">
      <alignment horizontal="center" vertical="center" wrapText="1"/>
    </xf>
    <xf numFmtId="0" fontId="56" fillId="16" borderId="45" xfId="0" applyFont="1" applyFill="1" applyBorder="1" applyAlignment="1">
      <alignment horizontal="center" vertical="center" wrapText="1"/>
    </xf>
    <xf numFmtId="1" fontId="54" fillId="0" borderId="44" xfId="0" applyNumberFormat="1" applyFont="1" applyBorder="1" applyAlignment="1">
      <alignment horizontal="center" vertical="center" wrapText="1"/>
    </xf>
    <xf numFmtId="1" fontId="54" fillId="16" borderId="44" xfId="0" applyNumberFormat="1" applyFont="1" applyFill="1" applyBorder="1" applyAlignment="1">
      <alignment horizontal="center" vertical="center" wrapText="1"/>
    </xf>
    <xf numFmtId="0" fontId="54" fillId="16" borderId="44" xfId="0" applyFont="1" applyFill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3" fontId="22" fillId="16" borderId="44" xfId="0" applyNumberFormat="1" applyFont="1" applyFill="1" applyBorder="1" applyAlignment="1">
      <alignment vertical="center" wrapText="1"/>
    </xf>
    <xf numFmtId="10" fontId="22" fillId="16" borderId="45" xfId="1" applyNumberFormat="1" applyFont="1" applyFill="1" applyBorder="1" applyAlignment="1">
      <alignment vertical="center" wrapText="1"/>
    </xf>
    <xf numFmtId="0" fontId="22" fillId="2" borderId="0" xfId="0" applyFont="1" applyFill="1"/>
    <xf numFmtId="0" fontId="24" fillId="2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9" fontId="20" fillId="2" borderId="3" xfId="1" applyFont="1" applyFill="1" applyBorder="1" applyAlignment="1" applyProtection="1">
      <alignment horizontal="center" vertical="center"/>
    </xf>
    <xf numFmtId="9" fontId="20" fillId="2" borderId="0" xfId="1" applyFont="1" applyFill="1" applyBorder="1" applyAlignment="1" applyProtection="1">
      <alignment horizontal="center" vertical="center"/>
    </xf>
    <xf numFmtId="9" fontId="20" fillId="2" borderId="2" xfId="1" applyFont="1" applyFill="1" applyBorder="1" applyAlignment="1" applyProtection="1">
      <alignment horizontal="center" vertical="center"/>
    </xf>
    <xf numFmtId="0" fontId="20" fillId="2" borderId="3" xfId="0" applyFont="1" applyFill="1" applyBorder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9" fontId="20" fillId="3" borderId="3" xfId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/>
    <xf numFmtId="166" fontId="20" fillId="2" borderId="3" xfId="1" applyNumberFormat="1" applyFont="1" applyFill="1" applyBorder="1" applyAlignment="1" applyProtection="1">
      <alignment horizontal="center" vertical="center"/>
    </xf>
    <xf numFmtId="166" fontId="20" fillId="3" borderId="3" xfId="1" applyNumberFormat="1" applyFont="1" applyFill="1" applyBorder="1" applyAlignment="1" applyProtection="1">
      <alignment horizontal="center" vertical="center"/>
    </xf>
    <xf numFmtId="166" fontId="20" fillId="0" borderId="3" xfId="1" applyNumberFormat="1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9" fillId="2" borderId="3" xfId="0" applyFont="1" applyFill="1" applyBorder="1" applyAlignment="1">
      <alignment horizontal="center" vertical="center"/>
    </xf>
    <xf numFmtId="3" fontId="20" fillId="2" borderId="3" xfId="1" applyNumberFormat="1" applyFont="1" applyFill="1" applyBorder="1" applyAlignment="1" applyProtection="1">
      <alignment vertical="center"/>
    </xf>
    <xf numFmtId="0" fontId="24" fillId="2" borderId="0" xfId="0" applyFont="1" applyFill="1"/>
    <xf numFmtId="9" fontId="24" fillId="2" borderId="0" xfId="1" applyFont="1" applyFill="1" applyBorder="1" applyAlignment="1" applyProtection="1">
      <alignment horizontal="center" vertical="center"/>
    </xf>
    <xf numFmtId="3" fontId="20" fillId="2" borderId="3" xfId="0" applyNumberFormat="1" applyFont="1" applyFill="1" applyBorder="1" applyAlignment="1">
      <alignment vertical="center"/>
    </xf>
    <xf numFmtId="0" fontId="25" fillId="2" borderId="0" xfId="0" applyFont="1" applyFill="1"/>
    <xf numFmtId="3" fontId="24" fillId="2" borderId="3" xfId="0" applyNumberFormat="1" applyFont="1" applyFill="1" applyBorder="1" applyAlignment="1">
      <alignment vertical="center"/>
    </xf>
    <xf numFmtId="4" fontId="20" fillId="3" borderId="3" xfId="1" applyNumberFormat="1" applyFont="1" applyFill="1" applyBorder="1" applyAlignment="1" applyProtection="1">
      <alignment horizontal="center" vertical="center"/>
    </xf>
    <xf numFmtId="3" fontId="24" fillId="7" borderId="3" xfId="0" applyNumberFormat="1" applyFont="1" applyFill="1" applyBorder="1" applyAlignment="1">
      <alignment horizontal="center" vertical="center"/>
    </xf>
    <xf numFmtId="3" fontId="20" fillId="3" borderId="3" xfId="1" applyNumberFormat="1" applyFont="1" applyFill="1" applyBorder="1" applyAlignment="1" applyProtection="1">
      <alignment vertical="center"/>
    </xf>
    <xf numFmtId="0" fontId="25" fillId="2" borderId="0" xfId="0" applyFont="1" applyFill="1" applyAlignment="1">
      <alignment horizontal="center" vertical="center"/>
    </xf>
    <xf numFmtId="3" fontId="20" fillId="2" borderId="3" xfId="0" applyNumberFormat="1" applyFont="1" applyFill="1" applyBorder="1"/>
    <xf numFmtId="168" fontId="20" fillId="2" borderId="3" xfId="1" applyNumberFormat="1" applyFont="1" applyFill="1" applyBorder="1" applyAlignment="1" applyProtection="1">
      <alignment vertical="center"/>
    </xf>
    <xf numFmtId="168" fontId="20" fillId="2" borderId="3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vertical="center"/>
    </xf>
    <xf numFmtId="0" fontId="22" fillId="2" borderId="12" xfId="0" applyFont="1" applyFill="1" applyBorder="1" applyAlignment="1">
      <alignment vertical="center"/>
    </xf>
    <xf numFmtId="9" fontId="24" fillId="3" borderId="3" xfId="0" applyNumberFormat="1" applyFont="1" applyFill="1" applyBorder="1" applyAlignment="1">
      <alignment horizontal="center" vertical="center"/>
    </xf>
    <xf numFmtId="166" fontId="20" fillId="2" borderId="3" xfId="1" applyNumberFormat="1" applyFont="1" applyFill="1" applyBorder="1" applyAlignment="1" applyProtection="1">
      <alignment vertical="center"/>
    </xf>
    <xf numFmtId="166" fontId="20" fillId="3" borderId="3" xfId="1" applyNumberFormat="1" applyFont="1" applyFill="1" applyBorder="1" applyAlignment="1" applyProtection="1">
      <alignment vertical="center"/>
    </xf>
    <xf numFmtId="9" fontId="20" fillId="2" borderId="0" xfId="1" applyFont="1" applyFill="1" applyProtection="1"/>
    <xf numFmtId="0" fontId="25" fillId="5" borderId="0" xfId="0" applyFont="1" applyFill="1"/>
    <xf numFmtId="0" fontId="27" fillId="2" borderId="0" xfId="0" applyFont="1" applyFill="1" applyAlignment="1">
      <alignment vertical="center"/>
    </xf>
    <xf numFmtId="3" fontId="24" fillId="3" borderId="3" xfId="1" applyNumberFormat="1" applyFont="1" applyFill="1" applyBorder="1" applyAlignment="1" applyProtection="1">
      <alignment vertical="center"/>
    </xf>
    <xf numFmtId="3" fontId="24" fillId="2" borderId="3" xfId="1" applyNumberFormat="1" applyFont="1" applyFill="1" applyBorder="1" applyAlignment="1" applyProtection="1">
      <alignment vertical="center"/>
    </xf>
    <xf numFmtId="0" fontId="24" fillId="2" borderId="0" xfId="0" applyFont="1" applyFill="1" applyAlignment="1">
      <alignment horizontal="left" vertical="center" wrapText="1"/>
    </xf>
    <xf numFmtId="3" fontId="24" fillId="2" borderId="3" xfId="0" applyNumberFormat="1" applyFont="1" applyFill="1" applyBorder="1"/>
    <xf numFmtId="3" fontId="20" fillId="2" borderId="0" xfId="1" applyNumberFormat="1" applyFont="1" applyFill="1" applyBorder="1" applyAlignment="1" applyProtection="1">
      <alignment vertical="center"/>
    </xf>
    <xf numFmtId="0" fontId="24" fillId="2" borderId="0" xfId="0" applyFont="1" applyFill="1" applyAlignment="1">
      <alignment vertical="center" wrapText="1"/>
    </xf>
    <xf numFmtId="169" fontId="24" fillId="2" borderId="0" xfId="1" applyNumberFormat="1" applyFont="1" applyFill="1" applyBorder="1" applyAlignment="1" applyProtection="1">
      <alignment vertical="center"/>
    </xf>
    <xf numFmtId="168" fontId="24" fillId="2" borderId="0" xfId="1" applyNumberFormat="1" applyFont="1" applyFill="1" applyBorder="1" applyAlignment="1" applyProtection="1">
      <alignment vertical="center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3" fontId="20" fillId="3" borderId="3" xfId="0" applyNumberFormat="1" applyFont="1" applyFill="1" applyBorder="1" applyAlignment="1">
      <alignment vertical="center"/>
    </xf>
    <xf numFmtId="3" fontId="20" fillId="13" borderId="3" xfId="0" applyNumberFormat="1" applyFont="1" applyFill="1" applyBorder="1" applyAlignment="1">
      <alignment vertical="center"/>
    </xf>
    <xf numFmtId="0" fontId="20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vertical="center"/>
    </xf>
    <xf numFmtId="3" fontId="20" fillId="2" borderId="3" xfId="1" applyNumberFormat="1" applyFont="1" applyFill="1" applyBorder="1" applyAlignment="1" applyProtection="1">
      <alignment horizontal="center" vertical="center"/>
    </xf>
    <xf numFmtId="3" fontId="20" fillId="2" borderId="6" xfId="0" applyNumberFormat="1" applyFont="1" applyFill="1" applyBorder="1" applyAlignment="1">
      <alignment vertical="center"/>
    </xf>
    <xf numFmtId="175" fontId="20" fillId="2" borderId="0" xfId="0" applyNumberFormat="1" applyFont="1" applyFill="1" applyAlignment="1">
      <alignment vertical="center"/>
    </xf>
    <xf numFmtId="10" fontId="24" fillId="2" borderId="3" xfId="1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/>
    </xf>
    <xf numFmtId="3" fontId="24" fillId="2" borderId="3" xfId="1" applyNumberFormat="1" applyFont="1" applyFill="1" applyBorder="1" applyAlignment="1" applyProtection="1">
      <alignment horizontal="center" vertical="center"/>
    </xf>
    <xf numFmtId="166" fontId="24" fillId="4" borderId="3" xfId="1" applyNumberFormat="1" applyFont="1" applyFill="1" applyBorder="1" applyAlignment="1" applyProtection="1">
      <alignment horizontal="center" vertical="center"/>
    </xf>
    <xf numFmtId="3" fontId="24" fillId="4" borderId="3" xfId="1" applyNumberFormat="1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3" fontId="24" fillId="2" borderId="2" xfId="0" applyNumberFormat="1" applyFont="1" applyFill="1" applyBorder="1" applyAlignment="1">
      <alignment vertical="center"/>
    </xf>
    <xf numFmtId="3" fontId="24" fillId="3" borderId="3" xfId="0" applyNumberFormat="1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 wrapText="1"/>
    </xf>
    <xf numFmtId="3" fontId="24" fillId="2" borderId="6" xfId="0" applyNumberFormat="1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center" vertical="center"/>
    </xf>
    <xf numFmtId="10" fontId="21" fillId="2" borderId="0" xfId="1" applyNumberFormat="1" applyFont="1" applyFill="1" applyProtection="1"/>
    <xf numFmtId="0" fontId="20" fillId="2" borderId="0" xfId="0" applyFont="1" applyFill="1" applyAlignment="1">
      <alignment horizontal="left"/>
    </xf>
    <xf numFmtId="3" fontId="19" fillId="2" borderId="3" xfId="0" applyNumberFormat="1" applyFont="1" applyFill="1" applyBorder="1"/>
    <xf numFmtId="168" fontId="19" fillId="2" borderId="3" xfId="0" applyNumberFormat="1" applyFont="1" applyFill="1" applyBorder="1"/>
    <xf numFmtId="4" fontId="19" fillId="2" borderId="3" xfId="0" applyNumberFormat="1" applyFont="1" applyFill="1" applyBorder="1"/>
    <xf numFmtId="3" fontId="24" fillId="2" borderId="3" xfId="0" applyNumberFormat="1" applyFont="1" applyFill="1" applyBorder="1" applyAlignment="1">
      <alignment horizontal="center" vertical="center"/>
    </xf>
    <xf numFmtId="9" fontId="20" fillId="2" borderId="3" xfId="0" applyNumberFormat="1" applyFont="1" applyFill="1" applyBorder="1"/>
    <xf numFmtId="3" fontId="25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168" fontId="24" fillId="4" borderId="3" xfId="1" applyNumberFormat="1" applyFont="1" applyFill="1" applyBorder="1" applyAlignment="1" applyProtection="1">
      <alignment horizontal="center" vertical="center"/>
    </xf>
    <xf numFmtId="0" fontId="45" fillId="2" borderId="0" xfId="30" applyFill="1">
      <alignment vertical="center"/>
    </xf>
    <xf numFmtId="0" fontId="46" fillId="2" borderId="0" xfId="30" applyFont="1" applyFill="1">
      <alignment vertical="center"/>
    </xf>
    <xf numFmtId="0" fontId="46" fillId="2" borderId="0" xfId="3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50" fillId="2" borderId="0" xfId="31" applyFont="1" applyFill="1" applyAlignment="1">
      <alignment horizontal="left" vertical="center" wrapText="1"/>
    </xf>
    <xf numFmtId="0" fontId="50" fillId="2" borderId="0" xfId="31" applyFont="1" applyFill="1" applyAlignment="1">
      <alignment horizontal="center" vertical="top"/>
    </xf>
    <xf numFmtId="0" fontId="50" fillId="2" borderId="0" xfId="31" applyFont="1" applyFill="1">
      <alignment horizontal="centerContinuous" vertical="top"/>
    </xf>
    <xf numFmtId="1" fontId="50" fillId="2" borderId="0" xfId="31" applyNumberFormat="1" applyFont="1" applyFill="1">
      <alignment horizontal="centerContinuous" vertical="top"/>
    </xf>
    <xf numFmtId="0" fontId="50" fillId="2" borderId="0" xfId="31" applyFont="1" applyFill="1" applyAlignment="1">
      <alignment horizontal="centerContinuous" vertical="top" wrapText="1"/>
    </xf>
    <xf numFmtId="0" fontId="47" fillId="2" borderId="0" xfId="0" applyFont="1" applyFill="1" applyAlignment="1">
      <alignment vertical="center" wrapText="1"/>
    </xf>
    <xf numFmtId="9" fontId="47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176" fontId="51" fillId="2" borderId="39" xfId="32" applyFont="1" applyFill="1" applyBorder="1" applyProtection="1">
      <alignment vertical="center"/>
    </xf>
    <xf numFmtId="178" fontId="51" fillId="2" borderId="39" xfId="33" applyNumberFormat="1" applyFont="1" applyFill="1" applyBorder="1" applyProtection="1">
      <alignment vertical="center"/>
    </xf>
    <xf numFmtId="178" fontId="51" fillId="2" borderId="39" xfId="34" applyNumberFormat="1" applyFont="1" applyFill="1">
      <alignment vertical="center"/>
    </xf>
    <xf numFmtId="0" fontId="48" fillId="2" borderId="0" xfId="29" applyFont="1" applyFill="1" applyAlignment="1" applyProtection="1">
      <alignment vertical="center" wrapText="1"/>
    </xf>
    <xf numFmtId="0" fontId="49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44" fillId="2" borderId="0" xfId="4" applyFont="1" applyFill="1"/>
    <xf numFmtId="0" fontId="44" fillId="2" borderId="13" xfId="4" applyFont="1" applyFill="1" applyBorder="1"/>
    <xf numFmtId="0" fontId="19" fillId="2" borderId="10" xfId="4" applyFont="1" applyFill="1" applyBorder="1" applyAlignment="1">
      <alignment horizontal="center" vertical="center"/>
    </xf>
    <xf numFmtId="0" fontId="19" fillId="2" borderId="3" xfId="4" applyFont="1" applyFill="1" applyBorder="1"/>
    <xf numFmtId="3" fontId="19" fillId="2" borderId="3" xfId="4" applyNumberFormat="1" applyFont="1" applyFill="1" applyBorder="1"/>
    <xf numFmtId="166" fontId="19" fillId="2" borderId="3" xfId="4" applyNumberFormat="1" applyFont="1" applyFill="1" applyBorder="1"/>
    <xf numFmtId="0" fontId="19" fillId="2" borderId="3" xfId="4" applyFont="1" applyFill="1" applyBorder="1" applyAlignment="1">
      <alignment vertical="center" wrapText="1"/>
    </xf>
    <xf numFmtId="0" fontId="19" fillId="2" borderId="3" xfId="4" applyFont="1" applyFill="1" applyBorder="1" applyAlignment="1">
      <alignment wrapText="1"/>
    </xf>
    <xf numFmtId="3" fontId="19" fillId="2" borderId="3" xfId="4" applyNumberFormat="1" applyFont="1" applyFill="1" applyBorder="1" applyAlignment="1">
      <alignment horizontal="right" vertical="center" wrapText="1"/>
    </xf>
    <xf numFmtId="0" fontId="19" fillId="2" borderId="0" xfId="4" applyFont="1" applyFill="1"/>
    <xf numFmtId="166" fontId="44" fillId="2" borderId="0" xfId="4" applyNumberFormat="1" applyFont="1" applyFill="1"/>
    <xf numFmtId="0" fontId="33" fillId="2" borderId="0" xfId="4" applyFont="1" applyFill="1"/>
    <xf numFmtId="0" fontId="33" fillId="2" borderId="3" xfId="4" applyFont="1" applyFill="1" applyBorder="1"/>
    <xf numFmtId="10" fontId="33" fillId="2" borderId="3" xfId="4" applyNumberFormat="1" applyFont="1" applyFill="1" applyBorder="1" applyAlignment="1">
      <alignment horizontal="center" vertical="center"/>
    </xf>
    <xf numFmtId="10" fontId="33" fillId="2" borderId="0" xfId="4" applyNumberFormat="1" applyFont="1" applyFill="1"/>
    <xf numFmtId="3" fontId="33" fillId="2" borderId="0" xfId="4" applyNumberFormat="1" applyFont="1" applyFill="1"/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164" fontId="19" fillId="0" borderId="3" xfId="0" applyNumberFormat="1" applyFont="1" applyBorder="1" applyAlignment="1">
      <alignment horizontal="right" vertical="center"/>
    </xf>
    <xf numFmtId="10" fontId="19" fillId="0" borderId="3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43" fillId="2" borderId="13" xfId="4" applyFont="1" applyFill="1" applyBorder="1"/>
    <xf numFmtId="0" fontId="26" fillId="0" borderId="3" xfId="0" applyFont="1" applyBorder="1" applyAlignment="1">
      <alignment vertical="center"/>
    </xf>
    <xf numFmtId="0" fontId="26" fillId="0" borderId="9" xfId="0" applyFont="1" applyBorder="1" applyAlignment="1">
      <alignment horizontal="right" vertical="center"/>
    </xf>
    <xf numFmtId="164" fontId="26" fillId="0" borderId="3" xfId="0" applyNumberFormat="1" applyFont="1" applyBorder="1" applyAlignment="1">
      <alignment horizontal="right" vertical="center"/>
    </xf>
    <xf numFmtId="10" fontId="26" fillId="0" borderId="3" xfId="0" applyNumberFormat="1" applyFont="1" applyBorder="1" applyAlignment="1">
      <alignment horizontal="right" vertical="center"/>
    </xf>
    <xf numFmtId="0" fontId="43" fillId="2" borderId="0" xfId="4" applyFont="1" applyFill="1"/>
    <xf numFmtId="0" fontId="25" fillId="2" borderId="0" xfId="4" applyFont="1" applyFill="1"/>
    <xf numFmtId="164" fontId="19" fillId="0" borderId="3" xfId="0" applyNumberFormat="1" applyFont="1" applyBorder="1" applyAlignment="1">
      <alignment vertical="center"/>
    </xf>
    <xf numFmtId="4" fontId="19" fillId="2" borderId="3" xfId="4" applyNumberFormat="1" applyFont="1" applyFill="1" applyBorder="1" applyAlignment="1">
      <alignment horizontal="center" vertical="center"/>
    </xf>
    <xf numFmtId="0" fontId="33" fillId="2" borderId="5" xfId="4" applyFont="1" applyFill="1" applyBorder="1"/>
    <xf numFmtId="0" fontId="40" fillId="2" borderId="0" xfId="4" applyFont="1" applyFill="1" applyAlignment="1">
      <alignment horizontal="center" vertical="center" wrapText="1"/>
    </xf>
    <xf numFmtId="0" fontId="40" fillId="2" borderId="0" xfId="4" applyFont="1" applyFill="1" applyAlignment="1">
      <alignment horizontal="center" vertical="center"/>
    </xf>
    <xf numFmtId="0" fontId="19" fillId="2" borderId="3" xfId="4" applyFont="1" applyFill="1" applyBorder="1" applyAlignment="1">
      <alignment horizontal="center"/>
    </xf>
    <xf numFmtId="164" fontId="19" fillId="2" borderId="3" xfId="4" applyNumberFormat="1" applyFont="1" applyFill="1" applyBorder="1"/>
    <xf numFmtId="164" fontId="19" fillId="2" borderId="0" xfId="4" applyNumberFormat="1" applyFont="1" applyFill="1"/>
    <xf numFmtId="0" fontId="26" fillId="2" borderId="3" xfId="4" applyFont="1" applyFill="1" applyBorder="1" applyAlignment="1">
      <alignment horizontal="center"/>
    </xf>
    <xf numFmtId="164" fontId="26" fillId="2" borderId="3" xfId="4" applyNumberFormat="1" applyFont="1" applyFill="1" applyBorder="1"/>
    <xf numFmtId="164" fontId="26" fillId="2" borderId="0" xfId="4" applyNumberFormat="1" applyFont="1" applyFill="1"/>
    <xf numFmtId="0" fontId="44" fillId="2" borderId="0" xfId="4" applyFont="1" applyFill="1" applyAlignment="1">
      <alignment horizontal="center"/>
    </xf>
    <xf numFmtId="164" fontId="43" fillId="2" borderId="0" xfId="4" applyNumberFormat="1" applyFont="1" applyFill="1"/>
    <xf numFmtId="3" fontId="44" fillId="2" borderId="0" xfId="4" applyNumberFormat="1" applyFont="1" applyFill="1"/>
    <xf numFmtId="0" fontId="33" fillId="2" borderId="13" xfId="4" applyFont="1" applyFill="1" applyBorder="1"/>
    <xf numFmtId="170" fontId="33" fillId="2" borderId="0" xfId="4" applyNumberFormat="1" applyFont="1" applyFill="1"/>
    <xf numFmtId="0" fontId="34" fillId="2" borderId="0" xfId="4" applyFont="1" applyFill="1" applyAlignment="1">
      <alignment vertical="center" wrapText="1"/>
    </xf>
    <xf numFmtId="0" fontId="34" fillId="2" borderId="0" xfId="4" applyFont="1" applyFill="1" applyAlignment="1">
      <alignment vertical="center"/>
    </xf>
    <xf numFmtId="166" fontId="33" fillId="2" borderId="3" xfId="4" applyNumberFormat="1" applyFont="1" applyFill="1" applyBorder="1" applyAlignment="1">
      <alignment horizontal="right" vertical="center"/>
    </xf>
    <xf numFmtId="166" fontId="33" fillId="2" borderId="0" xfId="4" applyNumberFormat="1" applyFont="1" applyFill="1"/>
    <xf numFmtId="166" fontId="33" fillId="2" borderId="3" xfId="5" applyNumberFormat="1" applyFont="1" applyFill="1" applyBorder="1" applyAlignment="1" applyProtection="1">
      <alignment horizontal="right" vertical="center"/>
    </xf>
    <xf numFmtId="171" fontId="33" fillId="2" borderId="0" xfId="4" applyNumberFormat="1" applyFont="1" applyFill="1"/>
    <xf numFmtId="0" fontId="33" fillId="2" borderId="3" xfId="4" applyFont="1" applyFill="1" applyBorder="1" applyAlignment="1">
      <alignment horizontal="center" vertical="top" wrapText="1"/>
    </xf>
    <xf numFmtId="0" fontId="33" fillId="2" borderId="0" xfId="4" applyFont="1" applyFill="1" applyAlignment="1">
      <alignment horizontal="center" vertical="top" wrapText="1"/>
    </xf>
    <xf numFmtId="0" fontId="33" fillId="2" borderId="3" xfId="4" applyFont="1" applyFill="1" applyBorder="1" applyAlignment="1">
      <alignment horizontal="center"/>
    </xf>
    <xf numFmtId="0" fontId="33" fillId="2" borderId="0" xfId="4" applyFont="1" applyFill="1" applyAlignment="1">
      <alignment horizontal="center"/>
    </xf>
    <xf numFmtId="164" fontId="33" fillId="2" borderId="3" xfId="4" applyNumberFormat="1" applyFont="1" applyFill="1" applyBorder="1"/>
    <xf numFmtId="0" fontId="33" fillId="2" borderId="3" xfId="4" applyFont="1" applyFill="1" applyBorder="1" applyAlignment="1">
      <alignment vertical="center"/>
    </xf>
    <xf numFmtId="164" fontId="33" fillId="2" borderId="3" xfId="4" applyNumberFormat="1" applyFont="1" applyFill="1" applyBorder="1" applyAlignment="1">
      <alignment vertical="center"/>
    </xf>
    <xf numFmtId="164" fontId="33" fillId="2" borderId="0" xfId="4" applyNumberFormat="1" applyFont="1" applyFill="1" applyAlignment="1">
      <alignment vertical="center"/>
    </xf>
    <xf numFmtId="0" fontId="19" fillId="2" borderId="9" xfId="4" applyFont="1" applyFill="1" applyBorder="1" applyAlignment="1">
      <alignment horizontal="left" vertical="center"/>
    </xf>
    <xf numFmtId="3" fontId="33" fillId="0" borderId="3" xfId="4" applyNumberFormat="1" applyFont="1" applyBorder="1" applyAlignment="1">
      <alignment horizontal="center" vertical="center"/>
    </xf>
    <xf numFmtId="4" fontId="33" fillId="0" borderId="3" xfId="4" applyNumberFormat="1" applyFont="1" applyBorder="1" applyAlignment="1">
      <alignment horizontal="center" vertical="center"/>
    </xf>
    <xf numFmtId="3" fontId="33" fillId="0" borderId="3" xfId="9" applyNumberFormat="1" applyFont="1" applyBorder="1"/>
    <xf numFmtId="4" fontId="33" fillId="0" borderId="3" xfId="11" applyNumberFormat="1" applyFont="1" applyBorder="1" applyAlignment="1">
      <alignment horizontal="center" vertical="center"/>
    </xf>
    <xf numFmtId="4" fontId="20" fillId="3" borderId="3" xfId="4" applyNumberFormat="1" applyFont="1" applyFill="1" applyBorder="1" applyAlignment="1">
      <alignment horizontal="center" vertical="center"/>
    </xf>
    <xf numFmtId="3" fontId="34" fillId="0" borderId="3" xfId="4" applyNumberFormat="1" applyFont="1" applyBorder="1" applyAlignment="1">
      <alignment horizontal="center" vertical="center"/>
    </xf>
    <xf numFmtId="39" fontId="64" fillId="0" borderId="3" xfId="27" applyNumberFormat="1" applyFont="1" applyFill="1" applyBorder="1" applyAlignment="1">
      <alignment horizontal="center" vertical="center"/>
    </xf>
    <xf numFmtId="173" fontId="65" fillId="0" borderId="3" xfId="27" applyNumberFormat="1" applyFont="1" applyFill="1" applyBorder="1" applyAlignment="1">
      <alignment horizontal="center" vertical="center"/>
    </xf>
    <xf numFmtId="39" fontId="65" fillId="0" borderId="3" xfId="27" applyNumberFormat="1" applyFont="1" applyFill="1" applyBorder="1" applyAlignment="1">
      <alignment horizontal="center" vertical="center"/>
    </xf>
    <xf numFmtId="9" fontId="20" fillId="2" borderId="0" xfId="1" applyFont="1" applyFill="1"/>
    <xf numFmtId="9" fontId="20" fillId="2" borderId="0" xfId="1" applyFont="1" applyFill="1" applyAlignment="1">
      <alignment wrapText="1"/>
    </xf>
    <xf numFmtId="9" fontId="20" fillId="2" borderId="0" xfId="1" applyFont="1" applyFill="1" applyBorder="1" applyAlignment="1" applyProtection="1">
      <alignment vertical="center"/>
    </xf>
    <xf numFmtId="0" fontId="66" fillId="5" borderId="0" xfId="0" applyFont="1" applyFill="1"/>
    <xf numFmtId="0" fontId="67" fillId="2" borderId="0" xfId="0" applyFont="1" applyFill="1"/>
    <xf numFmtId="0" fontId="68" fillId="2" borderId="0" xfId="0" applyFont="1" applyFill="1"/>
    <xf numFmtId="0" fontId="66" fillId="2" borderId="0" xfId="0" applyFont="1" applyFill="1"/>
    <xf numFmtId="9" fontId="66" fillId="5" borderId="0" xfId="1" applyFont="1" applyFill="1"/>
    <xf numFmtId="9" fontId="67" fillId="2" borderId="0" xfId="1" applyFont="1" applyFill="1" applyAlignment="1">
      <alignment vertical="center"/>
    </xf>
    <xf numFmtId="9" fontId="69" fillId="2" borderId="0" xfId="1" applyFont="1" applyFill="1" applyAlignment="1">
      <alignment horizontal="center" vertical="center" wrapText="1"/>
    </xf>
    <xf numFmtId="9" fontId="68" fillId="2" borderId="0" xfId="1" applyFont="1" applyFill="1"/>
    <xf numFmtId="9" fontId="68" fillId="2" borderId="0" xfId="1" applyFont="1" applyFill="1" applyAlignment="1">
      <alignment horizontal="center" vertical="center"/>
    </xf>
    <xf numFmtId="9" fontId="68" fillId="2" borderId="0" xfId="1" applyFont="1" applyFill="1" applyBorder="1" applyAlignment="1" applyProtection="1">
      <alignment vertical="center"/>
    </xf>
    <xf numFmtId="9" fontId="66" fillId="2" borderId="0" xfId="1" applyFont="1" applyFill="1"/>
    <xf numFmtId="9" fontId="20" fillId="2" borderId="3" xfId="0" applyNumberFormat="1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/>
    <xf numFmtId="0" fontId="29" fillId="2" borderId="0" xfId="0" applyFont="1" applyFill="1"/>
    <xf numFmtId="0" fontId="20" fillId="3" borderId="3" xfId="0" applyFont="1" applyFill="1" applyBorder="1" applyAlignment="1">
      <alignment horizontal="center" vertical="center"/>
    </xf>
    <xf numFmtId="14" fontId="20" fillId="2" borderId="0" xfId="0" applyNumberFormat="1" applyFont="1" applyFill="1"/>
    <xf numFmtId="1" fontId="20" fillId="2" borderId="3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9" fontId="20" fillId="3" borderId="3" xfId="0" applyNumberFormat="1" applyFont="1" applyFill="1" applyBorder="1" applyAlignment="1">
      <alignment horizontal="center" vertical="center"/>
    </xf>
    <xf numFmtId="9" fontId="20" fillId="2" borderId="0" xfId="0" applyNumberFormat="1" applyFont="1" applyFill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 vertical="center"/>
    </xf>
    <xf numFmtId="167" fontId="20" fillId="3" borderId="3" xfId="0" applyNumberFormat="1" applyFont="1" applyFill="1" applyBorder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8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/>
    </xf>
    <xf numFmtId="168" fontId="20" fillId="3" borderId="3" xfId="0" applyNumberFormat="1" applyFont="1" applyFill="1" applyBorder="1" applyAlignment="1">
      <alignment horizontal="center" vertical="center"/>
    </xf>
    <xf numFmtId="0" fontId="20" fillId="9" borderId="0" xfId="0" applyFont="1" applyFill="1"/>
    <xf numFmtId="0" fontId="21" fillId="9" borderId="0" xfId="0" applyFont="1" applyFill="1"/>
    <xf numFmtId="0" fontId="20" fillId="2" borderId="6" xfId="0" applyFont="1" applyFill="1" applyBorder="1" applyAlignment="1">
      <alignment horizontal="center" vertical="center"/>
    </xf>
    <xf numFmtId="9" fontId="20" fillId="2" borderId="6" xfId="0" applyNumberFormat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20" fillId="9" borderId="3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168" fontId="20" fillId="0" borderId="3" xfId="0" applyNumberFormat="1" applyFont="1" applyBorder="1" applyAlignment="1">
      <alignment horizontal="center" vertical="center"/>
    </xf>
    <xf numFmtId="169" fontId="20" fillId="3" borderId="3" xfId="0" applyNumberFormat="1" applyFont="1" applyFill="1" applyBorder="1" applyAlignment="1">
      <alignment horizontal="center" vertical="center"/>
    </xf>
    <xf numFmtId="168" fontId="20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/>
    <xf numFmtId="3" fontId="20" fillId="0" borderId="3" xfId="0" applyNumberFormat="1" applyFont="1" applyBorder="1" applyAlignment="1">
      <alignment horizontal="center" vertical="center"/>
    </xf>
    <xf numFmtId="3" fontId="33" fillId="3" borderId="3" xfId="4" applyNumberFormat="1" applyFont="1" applyFill="1" applyBorder="1" applyAlignment="1">
      <alignment horizontal="center" vertical="center"/>
    </xf>
    <xf numFmtId="4" fontId="33" fillId="3" borderId="3" xfId="4" applyNumberFormat="1" applyFont="1" applyFill="1" applyBorder="1" applyAlignment="1">
      <alignment horizontal="center" vertical="center"/>
    </xf>
    <xf numFmtId="4" fontId="33" fillId="3" borderId="3" xfId="11" applyNumberFormat="1" applyFont="1" applyFill="1" applyBorder="1" applyAlignment="1">
      <alignment horizontal="center" vertical="center"/>
    </xf>
    <xf numFmtId="4" fontId="33" fillId="2" borderId="3" xfId="11" applyNumberFormat="1" applyFont="1" applyFill="1" applyBorder="1" applyAlignment="1">
      <alignment horizontal="center" vertical="center" wrapText="1"/>
    </xf>
    <xf numFmtId="9" fontId="20" fillId="2" borderId="0" xfId="1" applyFont="1" applyFill="1" applyAlignment="1" applyProtection="1">
      <alignment wrapText="1"/>
    </xf>
    <xf numFmtId="3" fontId="33" fillId="3" borderId="3" xfId="9" applyNumberFormat="1" applyFont="1" applyFill="1" applyBorder="1"/>
    <xf numFmtId="3" fontId="33" fillId="3" borderId="3" xfId="10" applyNumberFormat="1" applyFont="1" applyFill="1" applyBorder="1"/>
    <xf numFmtId="3" fontId="34" fillId="3" borderId="3" xfId="4" applyNumberFormat="1" applyFont="1" applyFill="1" applyBorder="1" applyAlignment="1">
      <alignment horizontal="center" vertical="center"/>
    </xf>
    <xf numFmtId="4" fontId="20" fillId="2" borderId="0" xfId="4" applyNumberFormat="1" applyFont="1" applyFill="1" applyAlignment="1">
      <alignment wrapText="1"/>
    </xf>
    <xf numFmtId="0" fontId="33" fillId="2" borderId="6" xfId="4" applyFont="1" applyFill="1" applyBorder="1" applyAlignment="1">
      <alignment horizontal="left" vertical="center"/>
    </xf>
    <xf numFmtId="0" fontId="70" fillId="0" borderId="0" xfId="4" applyFont="1"/>
    <xf numFmtId="0" fontId="71" fillId="0" borderId="0" xfId="4" applyFont="1" applyAlignment="1">
      <alignment horizontal="center" vertical="center"/>
    </xf>
    <xf numFmtId="165" fontId="70" fillId="0" borderId="0" xfId="21" applyFont="1" applyFill="1" applyBorder="1"/>
    <xf numFmtId="0" fontId="65" fillId="0" borderId="3" xfId="4" applyFont="1" applyBorder="1" applyAlignment="1">
      <alignment horizontal="center" vertical="center"/>
    </xf>
    <xf numFmtId="0" fontId="64" fillId="0" borderId="3" xfId="4" applyFont="1" applyBorder="1" applyAlignment="1">
      <alignment horizontal="center" vertical="center"/>
    </xf>
    <xf numFmtId="168" fontId="64" fillId="0" borderId="3" xfId="4" applyNumberFormat="1" applyFont="1" applyBorder="1" applyAlignment="1">
      <alignment horizontal="left" vertical="center" wrapText="1"/>
    </xf>
    <xf numFmtId="39" fontId="64" fillId="0" borderId="3" xfId="21" applyNumberFormat="1" applyFont="1" applyFill="1" applyBorder="1" applyAlignment="1">
      <alignment horizontal="center" vertical="center"/>
    </xf>
    <xf numFmtId="165" fontId="64" fillId="0" borderId="0" xfId="21" applyFont="1" applyFill="1" applyBorder="1" applyAlignment="1">
      <alignment horizontal="center" vertical="center"/>
    </xf>
    <xf numFmtId="165" fontId="70" fillId="0" borderId="0" xfId="4" applyNumberFormat="1" applyFont="1"/>
    <xf numFmtId="168" fontId="64" fillId="0" borderId="3" xfId="4" applyNumberFormat="1" applyFont="1" applyBorder="1" applyAlignment="1">
      <alignment horizontal="center" vertical="center"/>
    </xf>
    <xf numFmtId="167" fontId="65" fillId="0" borderId="3" xfId="4" applyNumberFormat="1" applyFont="1" applyBorder="1" applyAlignment="1">
      <alignment horizontal="center" vertical="center"/>
    </xf>
    <xf numFmtId="0" fontId="70" fillId="0" borderId="0" xfId="4" applyFont="1" applyAlignment="1">
      <alignment horizontal="center" vertical="center"/>
    </xf>
    <xf numFmtId="168" fontId="65" fillId="0" borderId="3" xfId="4" applyNumberFormat="1" applyFont="1" applyBorder="1" applyAlignment="1">
      <alignment horizontal="center" vertical="center"/>
    </xf>
    <xf numFmtId="173" fontId="65" fillId="0" borderId="3" xfId="21" applyNumberFormat="1" applyFont="1" applyFill="1" applyBorder="1" applyAlignment="1">
      <alignment horizontal="center" vertical="center"/>
    </xf>
    <xf numFmtId="9" fontId="65" fillId="0" borderId="3" xfId="4" applyNumberFormat="1" applyFont="1" applyBorder="1" applyAlignment="1">
      <alignment horizontal="center" vertical="center"/>
    </xf>
    <xf numFmtId="168" fontId="65" fillId="0" borderId="3" xfId="4" applyNumberFormat="1" applyFont="1" applyBorder="1" applyAlignment="1">
      <alignment horizontal="left" vertical="center" wrapText="1"/>
    </xf>
    <xf numFmtId="39" fontId="65" fillId="0" borderId="3" xfId="21" applyNumberFormat="1" applyFont="1" applyFill="1" applyBorder="1" applyAlignment="1">
      <alignment horizontal="center" vertical="center"/>
    </xf>
    <xf numFmtId="165" fontId="64" fillId="0" borderId="0" xfId="21" applyFont="1" applyFill="1" applyBorder="1"/>
    <xf numFmtId="0" fontId="64" fillId="0" borderId="0" xfId="4" applyFont="1"/>
    <xf numFmtId="0" fontId="72" fillId="0" borderId="0" xfId="4" applyFont="1"/>
    <xf numFmtId="165" fontId="70" fillId="0" borderId="0" xfId="21" applyFont="1" applyFill="1"/>
    <xf numFmtId="9" fontId="70" fillId="0" borderId="0" xfId="26" applyFont="1" applyFill="1"/>
    <xf numFmtId="43" fontId="70" fillId="0" borderId="0" xfId="4" applyNumberFormat="1" applyFont="1"/>
    <xf numFmtId="0" fontId="65" fillId="0" borderId="3" xfId="4" applyFont="1" applyBorder="1" applyAlignment="1">
      <alignment horizontal="left" vertical="center" wrapText="1"/>
    </xf>
    <xf numFmtId="165" fontId="64" fillId="0" borderId="0" xfId="4" applyNumberFormat="1" applyFont="1"/>
    <xf numFmtId="165" fontId="65" fillId="0" borderId="0" xfId="21" applyFont="1" applyFill="1" applyBorder="1"/>
    <xf numFmtId="0" fontId="65" fillId="0" borderId="0" xfId="4" applyFont="1"/>
    <xf numFmtId="165" fontId="71" fillId="0" borderId="0" xfId="21" applyFont="1" applyFill="1" applyBorder="1"/>
    <xf numFmtId="0" fontId="71" fillId="0" borderId="0" xfId="4" applyFont="1"/>
    <xf numFmtId="49" fontId="65" fillId="0" borderId="3" xfId="4" applyNumberFormat="1" applyFont="1" applyBorder="1" applyAlignment="1">
      <alignment horizontal="left" vertical="center" wrapText="1"/>
    </xf>
    <xf numFmtId="168" fontId="64" fillId="0" borderId="0" xfId="4" applyNumberFormat="1" applyFont="1" applyAlignment="1">
      <alignment horizontal="left" vertical="center" wrapText="1"/>
    </xf>
    <xf numFmtId="165" fontId="71" fillId="0" borderId="0" xfId="21" applyFont="1" applyFill="1" applyBorder="1" applyAlignment="1">
      <alignment horizontal="center"/>
    </xf>
    <xf numFmtId="165" fontId="71" fillId="0" borderId="0" xfId="21" applyFont="1" applyFill="1" applyAlignment="1">
      <alignment horizontal="center"/>
    </xf>
    <xf numFmtId="39" fontId="65" fillId="0" borderId="0" xfId="21" applyNumberFormat="1" applyFont="1" applyFill="1" applyBorder="1" applyAlignment="1">
      <alignment horizontal="center" vertical="center"/>
    </xf>
    <xf numFmtId="174" fontId="70" fillId="0" borderId="0" xfId="4" applyNumberFormat="1" applyFont="1"/>
    <xf numFmtId="9" fontId="70" fillId="0" borderId="0" xfId="4" applyNumberFormat="1" applyFont="1"/>
    <xf numFmtId="9" fontId="20" fillId="3" borderId="3" xfId="1" applyFont="1" applyFill="1" applyBorder="1" applyAlignment="1">
      <alignment horizontal="center" vertical="center"/>
    </xf>
    <xf numFmtId="9" fontId="24" fillId="2" borderId="3" xfId="1" applyFont="1" applyFill="1" applyBorder="1" applyAlignment="1" applyProtection="1">
      <alignment horizontal="center" vertical="center"/>
    </xf>
    <xf numFmtId="10" fontId="20" fillId="2" borderId="3" xfId="1" applyNumberFormat="1" applyFont="1" applyFill="1" applyBorder="1" applyAlignment="1" applyProtection="1">
      <alignment horizontal="center" vertical="center"/>
    </xf>
    <xf numFmtId="168" fontId="20" fillId="2" borderId="3" xfId="0" applyNumberFormat="1" applyFont="1" applyFill="1" applyBorder="1"/>
    <xf numFmtId="172" fontId="20" fillId="2" borderId="3" xfId="1" applyNumberFormat="1" applyFont="1" applyFill="1" applyBorder="1" applyAlignment="1" applyProtection="1">
      <alignment horizontal="center" vertical="center"/>
    </xf>
    <xf numFmtId="4" fontId="24" fillId="2" borderId="3" xfId="1" applyNumberFormat="1" applyFont="1" applyFill="1" applyBorder="1" applyAlignment="1" applyProtection="1">
      <alignment horizontal="center" vertical="center"/>
    </xf>
    <xf numFmtId="172" fontId="20" fillId="3" borderId="3" xfId="1" applyNumberFormat="1" applyFont="1" applyFill="1" applyBorder="1" applyAlignment="1" applyProtection="1">
      <alignment horizontal="center" vertical="center"/>
    </xf>
    <xf numFmtId="10" fontId="20" fillId="2" borderId="0" xfId="1" applyNumberFormat="1" applyFont="1" applyFill="1" applyBorder="1" applyAlignment="1" applyProtection="1">
      <alignment horizontal="center" vertical="center"/>
    </xf>
    <xf numFmtId="10" fontId="20" fillId="2" borderId="3" xfId="1" applyNumberFormat="1" applyFont="1" applyFill="1" applyBorder="1" applyAlignment="1">
      <alignment horizontal="center" vertical="center"/>
    </xf>
    <xf numFmtId="3" fontId="20" fillId="3" borderId="3" xfId="1" applyNumberFormat="1" applyFont="1" applyFill="1" applyBorder="1" applyAlignment="1" applyProtection="1">
      <alignment horizontal="center" vertical="center"/>
    </xf>
    <xf numFmtId="10" fontId="20" fillId="3" borderId="3" xfId="1" applyNumberFormat="1" applyFont="1" applyFill="1" applyBorder="1" applyAlignment="1" applyProtection="1">
      <alignment horizontal="center" vertical="center"/>
    </xf>
    <xf numFmtId="3" fontId="24" fillId="2" borderId="0" xfId="0" applyNumberFormat="1" applyFont="1" applyFill="1"/>
    <xf numFmtId="1" fontId="27" fillId="6" borderId="10" xfId="0" applyNumberFormat="1" applyFont="1" applyFill="1" applyBorder="1" applyAlignment="1">
      <alignment horizontal="center" vertical="center"/>
    </xf>
    <xf numFmtId="3" fontId="20" fillId="3" borderId="3" xfId="0" applyNumberFormat="1" applyFont="1" applyFill="1" applyBorder="1"/>
    <xf numFmtId="168" fontId="20" fillId="3" borderId="3" xfId="1" applyNumberFormat="1" applyFont="1" applyFill="1" applyBorder="1" applyAlignment="1" applyProtection="1">
      <alignment vertical="center"/>
    </xf>
    <xf numFmtId="168" fontId="20" fillId="3" borderId="3" xfId="0" applyNumberFormat="1" applyFont="1" applyFill="1" applyBorder="1" applyAlignment="1">
      <alignment vertical="center"/>
    </xf>
    <xf numFmtId="167" fontId="20" fillId="3" borderId="3" xfId="1" applyNumberFormat="1" applyFont="1" applyFill="1" applyBorder="1" applyAlignment="1" applyProtection="1">
      <alignment horizontal="center" vertical="center"/>
    </xf>
    <xf numFmtId="0" fontId="43" fillId="2" borderId="17" xfId="0" applyFont="1" applyFill="1" applyBorder="1"/>
    <xf numFmtId="0" fontId="24" fillId="2" borderId="27" xfId="0" applyFont="1" applyFill="1" applyBorder="1" applyAlignment="1">
      <alignment vertical="top"/>
    </xf>
    <xf numFmtId="4" fontId="24" fillId="2" borderId="14" xfId="0" applyNumberFormat="1" applyFont="1" applyFill="1" applyBorder="1" applyAlignment="1">
      <alignment horizontal="center" vertical="center"/>
    </xf>
    <xf numFmtId="4" fontId="26" fillId="2" borderId="14" xfId="0" applyNumberFormat="1" applyFont="1" applyFill="1" applyBorder="1" applyAlignment="1">
      <alignment vertical="top" wrapText="1"/>
    </xf>
    <xf numFmtId="1" fontId="50" fillId="2" borderId="0" xfId="31" applyNumberFormat="1" applyFont="1" applyFill="1" applyAlignment="1">
      <alignment horizontal="center" vertical="top"/>
    </xf>
    <xf numFmtId="9" fontId="21" fillId="2" borderId="0" xfId="1" applyFont="1" applyFill="1"/>
    <xf numFmtId="168" fontId="33" fillId="3" borderId="3" xfId="4" applyNumberFormat="1" applyFont="1" applyFill="1" applyBorder="1" applyAlignment="1">
      <alignment horizontal="center" vertical="center" wrapText="1"/>
    </xf>
    <xf numFmtId="169" fontId="33" fillId="3" borderId="3" xfId="4" applyNumberFormat="1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vertical="center" wrapText="1"/>
    </xf>
    <xf numFmtId="179" fontId="33" fillId="2" borderId="3" xfId="4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4" fillId="7" borderId="29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33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2" borderId="12" xfId="4" applyFont="1" applyFill="1" applyBorder="1" applyAlignment="1">
      <alignment horizontal="center" vertical="center"/>
    </xf>
    <xf numFmtId="0" fontId="33" fillId="2" borderId="0" xfId="4" applyFont="1" applyFill="1" applyAlignment="1">
      <alignment horizontal="center" vertical="center"/>
    </xf>
    <xf numFmtId="0" fontId="19" fillId="2" borderId="9" xfId="4" applyFont="1" applyFill="1" applyBorder="1" applyAlignment="1">
      <alignment horizontal="left" vertical="center"/>
    </xf>
    <xf numFmtId="0" fontId="19" fillId="2" borderId="10" xfId="4" applyFont="1" applyFill="1" applyBorder="1" applyAlignment="1">
      <alignment horizontal="left" vertical="center"/>
    </xf>
    <xf numFmtId="0" fontId="33" fillId="2" borderId="9" xfId="4" applyFont="1" applyFill="1" applyBorder="1" applyAlignment="1">
      <alignment horizontal="left" vertical="center"/>
    </xf>
    <xf numFmtId="0" fontId="33" fillId="2" borderId="11" xfId="4" applyFont="1" applyFill="1" applyBorder="1" applyAlignment="1">
      <alignment horizontal="left" vertical="center"/>
    </xf>
    <xf numFmtId="0" fontId="33" fillId="2" borderId="10" xfId="4" applyFont="1" applyFill="1" applyBorder="1" applyAlignment="1">
      <alignment horizontal="left" vertical="center"/>
    </xf>
    <xf numFmtId="0" fontId="19" fillId="2" borderId="9" xfId="4" applyFont="1" applyFill="1" applyBorder="1" applyAlignment="1">
      <alignment horizontal="left" vertical="center" wrapText="1"/>
    </xf>
    <xf numFmtId="0" fontId="19" fillId="2" borderId="10" xfId="4" applyFont="1" applyFill="1" applyBorder="1" applyAlignment="1">
      <alignment horizontal="left" vertical="center" wrapText="1"/>
    </xf>
    <xf numFmtId="0" fontId="33" fillId="2" borderId="3" xfId="4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6" fillId="2" borderId="3" xfId="8" applyFont="1" applyFill="1" applyBorder="1" applyAlignment="1">
      <alignment horizontal="left" vertical="center" wrapText="1"/>
    </xf>
    <xf numFmtId="0" fontId="19" fillId="2" borderId="9" xfId="8" applyFont="1" applyFill="1" applyBorder="1" applyAlignment="1">
      <alignment horizontal="left" vertical="center"/>
    </xf>
    <xf numFmtId="0" fontId="19" fillId="2" borderId="11" xfId="8" applyFont="1" applyFill="1" applyBorder="1" applyAlignment="1">
      <alignment horizontal="left" vertical="center"/>
    </xf>
    <xf numFmtId="0" fontId="19" fillId="2" borderId="10" xfId="8" applyFont="1" applyFill="1" applyBorder="1" applyAlignment="1">
      <alignment horizontal="left" vertical="center"/>
    </xf>
    <xf numFmtId="0" fontId="19" fillId="2" borderId="12" xfId="8" applyFont="1" applyFill="1" applyBorder="1" applyAlignment="1">
      <alignment horizontal="center" vertical="center"/>
    </xf>
    <xf numFmtId="0" fontId="28" fillId="2" borderId="3" xfId="4" applyFont="1" applyFill="1" applyBorder="1" applyAlignment="1">
      <alignment horizontal="center" vertical="center"/>
    </xf>
    <xf numFmtId="0" fontId="25" fillId="2" borderId="3" xfId="4" applyFont="1" applyFill="1" applyBorder="1" applyAlignment="1">
      <alignment horizontal="center" vertical="center" wrapText="1"/>
    </xf>
    <xf numFmtId="168" fontId="13" fillId="0" borderId="3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168" fontId="13" fillId="0" borderId="3" xfId="4" applyNumberFormat="1" applyFont="1" applyBorder="1" applyAlignment="1">
      <alignment horizontal="center" vertical="center" wrapText="1"/>
    </xf>
    <xf numFmtId="168" fontId="65" fillId="0" borderId="3" xfId="4" applyNumberFormat="1" applyFont="1" applyBorder="1" applyAlignment="1">
      <alignment horizontal="center" vertical="center"/>
    </xf>
    <xf numFmtId="0" fontId="65" fillId="0" borderId="3" xfId="4" applyFont="1" applyBorder="1" applyAlignment="1">
      <alignment horizontal="center" vertical="center" wrapText="1"/>
    </xf>
    <xf numFmtId="0" fontId="65" fillId="0" borderId="3" xfId="4" applyFont="1" applyBorder="1" applyAlignment="1">
      <alignment horizontal="center" vertical="center"/>
    </xf>
    <xf numFmtId="0" fontId="64" fillId="0" borderId="3" xfId="4" applyFont="1" applyBorder="1" applyAlignment="1">
      <alignment horizontal="center" vertical="center"/>
    </xf>
    <xf numFmtId="168" fontId="65" fillId="0" borderId="3" xfId="4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42" fillId="2" borderId="2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" fontId="40" fillId="6" borderId="9" xfId="0" applyNumberFormat="1" applyFont="1" applyFill="1" applyBorder="1" applyAlignment="1">
      <alignment horizontal="center" vertical="center" wrapText="1"/>
    </xf>
    <xf numFmtId="1" fontId="40" fillId="6" borderId="1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4" fillId="2" borderId="36" xfId="0" applyFont="1" applyFill="1" applyBorder="1" applyAlignment="1">
      <alignment horizontal="left" vertical="center" wrapText="1"/>
    </xf>
    <xf numFmtId="0" fontId="24" fillId="2" borderId="37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 wrapText="1"/>
    </xf>
    <xf numFmtId="0" fontId="29" fillId="2" borderId="2" xfId="0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right" vertical="center" wrapText="1"/>
    </xf>
    <xf numFmtId="0" fontId="24" fillId="7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vertical="top" wrapText="1"/>
    </xf>
    <xf numFmtId="0" fontId="19" fillId="2" borderId="22" xfId="0" applyFont="1" applyFill="1" applyBorder="1" applyAlignment="1">
      <alignment vertical="top" wrapText="1"/>
    </xf>
    <xf numFmtId="0" fontId="26" fillId="2" borderId="16" xfId="0" applyFont="1" applyFill="1" applyBorder="1" applyAlignment="1">
      <alignment horizontal="left" vertical="top" wrapText="1"/>
    </xf>
    <xf numFmtId="0" fontId="26" fillId="2" borderId="20" xfId="0" applyFont="1" applyFill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48" fillId="5" borderId="0" xfId="29" applyFont="1" applyFill="1" applyAlignment="1" applyProtection="1">
      <alignment vertical="center" wrapText="1"/>
    </xf>
    <xf numFmtId="0" fontId="49" fillId="5" borderId="0" xfId="0" applyFont="1" applyFill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34" fillId="2" borderId="0" xfId="4" applyFont="1" applyFill="1" applyAlignment="1">
      <alignment horizontal="left"/>
    </xf>
    <xf numFmtId="0" fontId="34" fillId="2" borderId="5" xfId="4" applyFont="1" applyFill="1" applyBorder="1"/>
    <xf numFmtId="0" fontId="33" fillId="2" borderId="5" xfId="4" applyFont="1" applyFill="1" applyBorder="1"/>
    <xf numFmtId="0" fontId="19" fillId="2" borderId="1" xfId="4" applyFont="1" applyFill="1" applyBorder="1" applyAlignment="1">
      <alignment wrapText="1"/>
    </xf>
    <xf numFmtId="0" fontId="19" fillId="2" borderId="2" xfId="4" applyFont="1" applyFill="1" applyBorder="1" applyAlignment="1">
      <alignment wrapText="1"/>
    </xf>
    <xf numFmtId="0" fontId="19" fillId="2" borderId="4" xfId="4" applyFont="1" applyFill="1" applyBorder="1" applyAlignment="1">
      <alignment wrapText="1"/>
    </xf>
    <xf numFmtId="0" fontId="26" fillId="2" borderId="1" xfId="4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center" vertical="center"/>
    </xf>
    <xf numFmtId="0" fontId="26" fillId="2" borderId="4" xfId="4" applyFont="1" applyFill="1" applyBorder="1" applyAlignment="1">
      <alignment horizontal="center" vertical="center"/>
    </xf>
    <xf numFmtId="0" fontId="19" fillId="2" borderId="1" xfId="4" applyFont="1" applyFill="1" applyBorder="1"/>
    <xf numFmtId="0" fontId="19" fillId="2" borderId="4" xfId="4" applyFont="1" applyFill="1" applyBorder="1"/>
    <xf numFmtId="0" fontId="19" fillId="2" borderId="2" xfId="4" applyFont="1" applyFill="1" applyBorder="1"/>
    <xf numFmtId="0" fontId="26" fillId="2" borderId="0" xfId="4" applyFont="1" applyFill="1"/>
    <xf numFmtId="0" fontId="19" fillId="2" borderId="0" xfId="4" applyFont="1" applyFill="1"/>
    <xf numFmtId="0" fontId="34" fillId="2" borderId="3" xfId="4" applyFont="1" applyFill="1" applyBorder="1" applyAlignment="1">
      <alignment horizontal="center" vertical="top"/>
    </xf>
    <xf numFmtId="0" fontId="33" fillId="2" borderId="1" xfId="4" applyFont="1" applyFill="1" applyBorder="1" applyAlignment="1">
      <alignment vertical="center" wrapText="1"/>
    </xf>
    <xf numFmtId="0" fontId="33" fillId="2" borderId="2" xfId="4" applyFont="1" applyFill="1" applyBorder="1" applyAlignment="1">
      <alignment vertical="center" wrapText="1"/>
    </xf>
    <xf numFmtId="0" fontId="33" fillId="2" borderId="4" xfId="4" applyFont="1" applyFill="1" applyBorder="1" applyAlignment="1">
      <alignment vertical="center" wrapText="1"/>
    </xf>
    <xf numFmtId="0" fontId="19" fillId="2" borderId="3" xfId="4" applyFont="1" applyFill="1" applyBorder="1"/>
    <xf numFmtId="0" fontId="26" fillId="2" borderId="3" xfId="4" applyFont="1" applyFill="1" applyBorder="1"/>
    <xf numFmtId="0" fontId="40" fillId="2" borderId="3" xfId="4" applyFont="1" applyFill="1" applyBorder="1" applyAlignment="1">
      <alignment horizontal="center" vertical="center" wrapText="1"/>
    </xf>
    <xf numFmtId="0" fontId="40" fillId="2" borderId="3" xfId="4" applyFont="1" applyFill="1" applyBorder="1" applyAlignment="1">
      <alignment horizontal="center" vertical="center"/>
    </xf>
    <xf numFmtId="0" fontId="33" fillId="2" borderId="9" xfId="4" applyFont="1" applyFill="1" applyBorder="1" applyAlignment="1">
      <alignment horizontal="center" vertical="center" wrapText="1"/>
    </xf>
    <xf numFmtId="0" fontId="33" fillId="2" borderId="10" xfId="4" applyFont="1" applyFill="1" applyBorder="1" applyAlignment="1">
      <alignment horizontal="center" vertical="center"/>
    </xf>
    <xf numFmtId="0" fontId="34" fillId="2" borderId="7" xfId="4" applyFont="1" applyFill="1" applyBorder="1" applyAlignment="1">
      <alignment horizontal="center" vertical="center"/>
    </xf>
    <xf numFmtId="0" fontId="33" fillId="2" borderId="8" xfId="4" applyFont="1" applyFill="1" applyBorder="1" applyAlignment="1">
      <alignment horizontal="center" vertical="center"/>
    </xf>
    <xf numFmtId="0" fontId="33" fillId="2" borderId="26" xfId="4" applyFont="1" applyFill="1" applyBorder="1" applyAlignment="1">
      <alignment horizontal="center" vertical="center"/>
    </xf>
    <xf numFmtId="0" fontId="33" fillId="2" borderId="23" xfId="4" applyFont="1" applyFill="1" applyBorder="1" applyAlignment="1">
      <alignment horizontal="center" vertical="center"/>
    </xf>
    <xf numFmtId="0" fontId="34" fillId="2" borderId="3" xfId="4" applyFont="1" applyFill="1" applyBorder="1" applyAlignment="1">
      <alignment horizontal="center" vertical="center" wrapText="1"/>
    </xf>
    <xf numFmtId="0" fontId="33" fillId="2" borderId="3" xfId="4" applyFont="1" applyFill="1" applyBorder="1" applyAlignment="1">
      <alignment horizontal="center" vertical="center" wrapText="1"/>
    </xf>
    <xf numFmtId="0" fontId="34" fillId="2" borderId="0" xfId="4" applyFont="1" applyFill="1" applyAlignment="1">
      <alignment horizontal="center" vertical="center" wrapText="1"/>
    </xf>
    <xf numFmtId="0" fontId="33" fillId="2" borderId="0" xfId="4" applyFont="1" applyFill="1" applyAlignment="1">
      <alignment horizontal="center" vertical="center" wrapText="1"/>
    </xf>
    <xf numFmtId="0" fontId="26" fillId="2" borderId="5" xfId="4" applyFont="1" applyFill="1" applyBorder="1"/>
    <xf numFmtId="0" fontId="19" fillId="2" borderId="5" xfId="4" applyFont="1" applyFill="1" applyBorder="1"/>
    <xf numFmtId="0" fontId="26" fillId="2" borderId="3" xfId="4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33" fillId="2" borderId="0" xfId="4" applyFont="1" applyFill="1"/>
    <xf numFmtId="0" fontId="33" fillId="2" borderId="10" xfId="4" applyFont="1" applyFill="1" applyBorder="1" applyAlignment="1">
      <alignment horizontal="center" vertical="center" wrapText="1"/>
    </xf>
    <xf numFmtId="0" fontId="34" fillId="2" borderId="7" xfId="4" applyFont="1" applyFill="1" applyBorder="1" applyAlignment="1">
      <alignment horizontal="center" vertical="center" wrapText="1"/>
    </xf>
    <xf numFmtId="0" fontId="34" fillId="2" borderId="6" xfId="4" applyFont="1" applyFill="1" applyBorder="1" applyAlignment="1">
      <alignment horizontal="center" vertical="center" wrapText="1"/>
    </xf>
    <xf numFmtId="0" fontId="34" fillId="2" borderId="8" xfId="4" applyFont="1" applyFill="1" applyBorder="1" applyAlignment="1">
      <alignment horizontal="center" vertical="center" wrapText="1"/>
    </xf>
    <xf numFmtId="0" fontId="34" fillId="2" borderId="26" xfId="4" applyFont="1" applyFill="1" applyBorder="1" applyAlignment="1">
      <alignment horizontal="center" vertical="center" wrapText="1"/>
    </xf>
    <xf numFmtId="0" fontId="34" fillId="2" borderId="5" xfId="4" applyFont="1" applyFill="1" applyBorder="1" applyAlignment="1">
      <alignment horizontal="center" vertical="center" wrapText="1"/>
    </xf>
    <xf numFmtId="0" fontId="34" fillId="2" borderId="23" xfId="4" applyFont="1" applyFill="1" applyBorder="1" applyAlignment="1">
      <alignment horizontal="center" vertical="center" wrapText="1"/>
    </xf>
    <xf numFmtId="0" fontId="26" fillId="2" borderId="9" xfId="4" applyFont="1" applyFill="1" applyBorder="1" applyAlignment="1">
      <alignment horizontal="center" vertical="center" wrapText="1"/>
    </xf>
    <xf numFmtId="0" fontId="26" fillId="2" borderId="11" xfId="4" applyFont="1" applyFill="1" applyBorder="1" applyAlignment="1">
      <alignment horizontal="center" vertical="center" wrapText="1"/>
    </xf>
    <xf numFmtId="0" fontId="26" fillId="2" borderId="10" xfId="4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4" xfId="0" applyFont="1" applyBorder="1"/>
    <xf numFmtId="0" fontId="40" fillId="2" borderId="9" xfId="4" applyFont="1" applyFill="1" applyBorder="1" applyAlignment="1">
      <alignment horizontal="center" vertical="center" wrapText="1"/>
    </xf>
    <xf numFmtId="0" fontId="40" fillId="2" borderId="10" xfId="4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left"/>
    </xf>
    <xf numFmtId="0" fontId="26" fillId="2" borderId="2" xfId="4" applyFont="1" applyFill="1" applyBorder="1" applyAlignment="1">
      <alignment horizontal="left"/>
    </xf>
    <xf numFmtId="0" fontId="26" fillId="2" borderId="4" xfId="4" applyFont="1" applyFill="1" applyBorder="1" applyAlignment="1">
      <alignment horizontal="left"/>
    </xf>
    <xf numFmtId="0" fontId="19" fillId="2" borderId="1" xfId="4" applyFont="1" applyFill="1" applyBorder="1" applyAlignment="1">
      <alignment vertical="center" wrapText="1"/>
    </xf>
    <xf numFmtId="0" fontId="19" fillId="2" borderId="2" xfId="4" applyFont="1" applyFill="1" applyBorder="1" applyAlignment="1">
      <alignment vertical="center" wrapText="1"/>
    </xf>
    <xf numFmtId="0" fontId="19" fillId="2" borderId="4" xfId="4" applyFont="1" applyFill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left" vertical="center" wrapText="1"/>
    </xf>
    <xf numFmtId="0" fontId="34" fillId="2" borderId="6" xfId="4" applyFont="1" applyFill="1" applyBorder="1" applyAlignment="1">
      <alignment horizontal="center" vertical="center"/>
    </xf>
    <xf numFmtId="0" fontId="34" fillId="2" borderId="8" xfId="4" applyFont="1" applyFill="1" applyBorder="1" applyAlignment="1">
      <alignment horizontal="center" vertical="center"/>
    </xf>
    <xf numFmtId="0" fontId="34" fillId="2" borderId="26" xfId="4" applyFont="1" applyFill="1" applyBorder="1" applyAlignment="1">
      <alignment horizontal="center" vertical="center"/>
    </xf>
    <xf numFmtId="0" fontId="34" fillId="2" borderId="5" xfId="4" applyFont="1" applyFill="1" applyBorder="1" applyAlignment="1">
      <alignment horizontal="center" vertical="center"/>
    </xf>
    <xf numFmtId="0" fontId="34" fillId="2" borderId="23" xfId="4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7" fillId="15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53" fillId="15" borderId="46" xfId="0" applyFont="1" applyFill="1" applyBorder="1" applyAlignment="1">
      <alignment vertical="center" wrapText="1"/>
    </xf>
    <xf numFmtId="0" fontId="53" fillId="15" borderId="43" xfId="0" applyFont="1" applyFill="1" applyBorder="1" applyAlignment="1">
      <alignment vertical="center" wrapText="1"/>
    </xf>
    <xf numFmtId="0" fontId="53" fillId="15" borderId="41" xfId="0" applyFont="1" applyFill="1" applyBorder="1" applyAlignment="1">
      <alignment horizontal="center" vertical="center" wrapText="1"/>
    </xf>
    <xf numFmtId="0" fontId="53" fillId="15" borderId="42" xfId="0" applyFont="1" applyFill="1" applyBorder="1" applyAlignment="1">
      <alignment horizontal="center" vertical="center" wrapText="1"/>
    </xf>
    <xf numFmtId="0" fontId="53" fillId="15" borderId="46" xfId="0" applyFont="1" applyFill="1" applyBorder="1" applyAlignment="1">
      <alignment horizontal="center" vertical="center" wrapText="1"/>
    </xf>
    <xf numFmtId="0" fontId="53" fillId="15" borderId="49" xfId="0" applyFont="1" applyFill="1" applyBorder="1" applyAlignment="1">
      <alignment horizontal="center" vertical="center" wrapText="1"/>
    </xf>
    <xf numFmtId="0" fontId="53" fillId="15" borderId="43" xfId="0" applyFont="1" applyFill="1" applyBorder="1" applyAlignment="1">
      <alignment horizontal="center" vertical="center" wrapText="1"/>
    </xf>
    <xf numFmtId="0" fontId="54" fillId="16" borderId="41" xfId="0" applyFont="1" applyFill="1" applyBorder="1" applyAlignment="1">
      <alignment horizontal="center" vertical="center" wrapText="1"/>
    </xf>
    <xf numFmtId="0" fontId="54" fillId="16" borderId="42" xfId="0" applyFont="1" applyFill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15" borderId="46" xfId="0" applyFont="1" applyFill="1" applyBorder="1" applyAlignment="1">
      <alignment vertical="center" wrapText="1"/>
    </xf>
    <xf numFmtId="0" fontId="55" fillId="15" borderId="43" xfId="0" applyFont="1" applyFill="1" applyBorder="1" applyAlignment="1">
      <alignment vertical="center" wrapText="1"/>
    </xf>
    <xf numFmtId="0" fontId="55" fillId="15" borderId="41" xfId="0" applyFont="1" applyFill="1" applyBorder="1" applyAlignment="1">
      <alignment horizontal="center" vertical="center" wrapText="1"/>
    </xf>
    <xf numFmtId="0" fontId="55" fillId="15" borderId="42" xfId="0" applyFont="1" applyFill="1" applyBorder="1" applyAlignment="1">
      <alignment horizontal="center" vertical="center" wrapText="1"/>
    </xf>
    <xf numFmtId="0" fontId="53" fillId="15" borderId="48" xfId="0" applyFont="1" applyFill="1" applyBorder="1" applyAlignment="1">
      <alignment horizontal="center" vertical="center" wrapText="1"/>
    </xf>
    <xf numFmtId="0" fontId="53" fillId="15" borderId="47" xfId="0" applyFont="1" applyFill="1" applyBorder="1" applyAlignment="1">
      <alignment horizontal="center" vertical="center" wrapText="1"/>
    </xf>
    <xf numFmtId="0" fontId="53" fillId="15" borderId="44" xfId="0" applyFont="1" applyFill="1" applyBorder="1" applyAlignment="1">
      <alignment horizontal="center" vertical="center" wrapText="1"/>
    </xf>
  </cellXfs>
  <cellStyles count="36">
    <cellStyle name="Accent4" xfId="29" builtinId="41"/>
    <cellStyle name="Column label (no wrap)" xfId="31" xr:uid="{6194A3F2-CE51-4245-AEF2-6C337EDCC969}"/>
    <cellStyle name="H0" xfId="30" xr:uid="{E04F9B07-4124-4097-842B-50171ACFF1F6}"/>
    <cellStyle name="Input calculation" xfId="34" xr:uid="{5FE73430-4C33-4D9C-8D42-26AFED32BD1B}"/>
    <cellStyle name="Normal" xfId="0" builtinId="0"/>
    <cellStyle name="Normal 14" xfId="2" xr:uid="{D2691C69-43F9-4EDC-9C32-92CA664B1500}"/>
    <cellStyle name="Normal 2" xfId="3" xr:uid="{C3F9092E-5DFD-4577-B723-A9DA78FCA412}"/>
    <cellStyle name="Normal 2 2" xfId="8" xr:uid="{ACE9B726-392D-4D1B-BE9C-BAF60F1FAF08}"/>
    <cellStyle name="Normal 2 3" xfId="13" xr:uid="{461D4F4A-C68D-4461-8DEB-80B2A78263F2}"/>
    <cellStyle name="Normal 3" xfId="4" xr:uid="{3D3CC256-42D9-4E23-8E4A-89F45C470CF3}"/>
    <cellStyle name="Normal 3 2" xfId="9" xr:uid="{47793D9C-FDEF-411D-9FA5-7EBCAEBD628D}"/>
    <cellStyle name="Normal 3 2 2" xfId="17" xr:uid="{F31E7887-7B2E-4DDF-AE24-360398840D2F}"/>
    <cellStyle name="Normal 4" xfId="10" xr:uid="{2E94009C-153F-4EFD-BB7B-EC5B719389C5}"/>
    <cellStyle name="Normal 4 2" xfId="18" xr:uid="{CE85A21E-C83A-4EB5-A391-61433D035989}"/>
    <cellStyle name="Normal 4 3" xfId="14" xr:uid="{48C1FBB3-0F57-48C1-BBBF-8C0DCB92B14B}"/>
    <cellStyle name="Normal 4 4" xfId="28" xr:uid="{BE7B8A60-7A21-406C-8DB7-A8646F01E82C}"/>
    <cellStyle name="Normal 5" xfId="11" xr:uid="{08EF0D17-1B27-432C-AC6D-BBAD20CF917F}"/>
    <cellStyle name="Normal 5 2" xfId="19" xr:uid="{BE22D75E-6866-4D1A-A5F7-BA820CD0E160}"/>
    <cellStyle name="Normal 5 3" xfId="15" xr:uid="{E0E2AB09-6E46-424B-88E8-EE4ED4EC4916}"/>
    <cellStyle name="Normal 6" xfId="22" xr:uid="{4B31C6FC-3E5F-4375-81A2-C569E955530B}"/>
    <cellStyle name="Normal 6 2" xfId="25" xr:uid="{E255D6F9-8D56-4A7E-9389-D951B921B851}"/>
    <cellStyle name="Normal 7" xfId="35" xr:uid="{137E9AB0-379E-455D-8F8B-2385498BA9EF}"/>
    <cellStyle name="Number" xfId="32" xr:uid="{D697F7DF-322E-4DE8-ACD3-D53D15244D0A}"/>
    <cellStyle name="Percentage (2dp)" xfId="33" xr:uid="{4761F793-F52F-4E6E-B29F-6FE6A5D53F46}"/>
    <cellStyle name="Procent" xfId="1" builtinId="5"/>
    <cellStyle name="Procent 2" xfId="5" xr:uid="{76AA147D-2ACB-4246-993D-5E0E09D1C6B1}"/>
    <cellStyle name="Procent 2 2" xfId="12" xr:uid="{1CB12BF2-1527-4726-ACD0-23909CCB8888}"/>
    <cellStyle name="Procent 3" xfId="7" xr:uid="{A1D8F02D-7195-4727-AD19-3861C1D569F1}"/>
    <cellStyle name="Procent 4" xfId="26" xr:uid="{0A583B0C-2791-4106-A52D-EECBF4D415E2}"/>
    <cellStyle name="Virgulă" xfId="23" builtinId="3"/>
    <cellStyle name="Virgulă 2" xfId="6" xr:uid="{4BA377ED-60E9-4222-A0A6-FD406C9D8A29}"/>
    <cellStyle name="Virgulă 2 2" xfId="16" xr:uid="{FCC6F2F3-8D57-402A-A26A-E5D1103D3358}"/>
    <cellStyle name="Virgulă 3" xfId="20" xr:uid="{3FB4CBC7-A809-4B95-9AA1-FEDADDDE93EE}"/>
    <cellStyle name="Virgulă 4" xfId="21" xr:uid="{33A23DC5-DF23-4FD6-A441-399A23CE57C2}"/>
    <cellStyle name="Virgulă 5" xfId="24" xr:uid="{18CD248A-BF7E-4854-9995-2D0D5FB06954}"/>
    <cellStyle name="Virgulă 6" xfId="27" xr:uid="{2E50442F-E2A2-4A4F-9F08-FCFE117E641B}"/>
  </cellStyles>
  <dxfs count="0"/>
  <tableStyles count="0" defaultTableStyle="TableStyleMedium2" defaultPivotStyle="PivotStyleLight16"/>
  <colors>
    <mruColors>
      <color rgb="FFCCCC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ttip\ContGest\Documents%20and%20Settings\robuttip.AMGA_SEDE\Documenti\AMGA%20COMMERCIALE\Storico%20Misure%20Acos-Gea-Deroghe\Previsioni%20mensili%20per%202001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R_Suport_Proiecte_Documentare\Date_Retea\Statii\Valuation%20M&amp;E%202004-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/AppData/Local/Temp/Rar$DIa11972.37129/APRIL%20update%202020%20BB%20Generic%20CBA%20model_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RELIANS/POIM%20ENERGIE/DELGAZ_POIM%206.3_dec%202020/ACB/2020%2012%2012%20Predare%20(revizuire%20FG%2099,38%25)/20201214_ACB%20DELGAZ_v.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Termoficare%202/CONSTANTA/ETAPA%203/REVIZIE%202/2022%2004%2020_ACB_Termoficare%20Constanta_etapa%20III_v.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licatii%20finantare\PROIECTE%20IN%20LUCRU\POIM%206.3\CEZ%20ROMANIA\ACB\ACB_CEZ_6.3_v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FA\Port%20Galati\ACB%20EY%20V2\Galati-CBA_Modell_20141128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QUADRIENNALE"/>
      <sheetName val="PIANO Q-mensile"/>
      <sheetName val="Graf.curve mensili ass"/>
      <sheetName val="Graf.curve totali"/>
      <sheetName val="Graf.curve mensili %"/>
      <sheetName val="AMGA"/>
      <sheetName val="CAE"/>
      <sheetName val="Aquamet"/>
      <sheetName val="GEA"/>
      <sheetName val="A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B8" t="str">
            <v>76</v>
          </cell>
          <cell r="C8">
            <v>32491999.999999996</v>
          </cell>
          <cell r="D8">
            <v>34097000</v>
          </cell>
          <cell r="E8">
            <v>31793000</v>
          </cell>
          <cell r="F8">
            <v>18269000</v>
          </cell>
          <cell r="G8">
            <v>10260000</v>
          </cell>
          <cell r="H8">
            <v>7580000</v>
          </cell>
          <cell r="I8">
            <v>6648000</v>
          </cell>
          <cell r="J8">
            <v>5815000</v>
          </cell>
          <cell r="K8">
            <v>7681000</v>
          </cell>
          <cell r="L8">
            <v>12926000</v>
          </cell>
          <cell r="M8">
            <v>25971000</v>
          </cell>
          <cell r="N8">
            <v>35958000</v>
          </cell>
          <cell r="O8">
            <v>229490000</v>
          </cell>
        </row>
        <row r="9">
          <cell r="B9" t="str">
            <v>77</v>
          </cell>
          <cell r="C9">
            <v>40727000</v>
          </cell>
          <cell r="D9">
            <v>29743000</v>
          </cell>
          <cell r="E9">
            <v>26043000</v>
          </cell>
          <cell r="F9">
            <v>18901000</v>
          </cell>
          <cell r="G9">
            <v>12379000</v>
          </cell>
          <cell r="H9">
            <v>8335000.0000000009</v>
          </cell>
          <cell r="I9">
            <v>7064000</v>
          </cell>
          <cell r="J9">
            <v>6186000</v>
          </cell>
          <cell r="K9">
            <v>8399000</v>
          </cell>
          <cell r="L9">
            <v>10079000</v>
          </cell>
          <cell r="M9">
            <v>21859000</v>
          </cell>
          <cell r="N9">
            <v>36075000</v>
          </cell>
          <cell r="O9">
            <v>225790000</v>
          </cell>
        </row>
        <row r="10">
          <cell r="B10" t="str">
            <v>78</v>
          </cell>
          <cell r="C10">
            <v>36363000</v>
          </cell>
          <cell r="D10">
            <v>36602000</v>
          </cell>
          <cell r="E10">
            <v>25743000</v>
          </cell>
          <cell r="F10">
            <v>21143000</v>
          </cell>
          <cell r="G10">
            <v>12434000</v>
          </cell>
          <cell r="H10">
            <v>8212999.9999999991</v>
          </cell>
          <cell r="I10">
            <v>7111000</v>
          </cell>
          <cell r="J10">
            <v>6093000</v>
          </cell>
          <cell r="K10">
            <v>7932000</v>
          </cell>
          <cell r="L10">
            <v>10508000</v>
          </cell>
          <cell r="M10">
            <v>24765000</v>
          </cell>
          <cell r="N10">
            <v>36195000</v>
          </cell>
          <cell r="O10">
            <v>233102000</v>
          </cell>
        </row>
        <row r="11">
          <cell r="B11" t="str">
            <v>79</v>
          </cell>
          <cell r="C11">
            <v>44018000</v>
          </cell>
          <cell r="D11">
            <v>32151000.000000004</v>
          </cell>
          <cell r="E11">
            <v>27387000</v>
          </cell>
          <cell r="F11">
            <v>19220000</v>
          </cell>
          <cell r="G11">
            <v>10735000</v>
          </cell>
          <cell r="H11">
            <v>7585000</v>
          </cell>
          <cell r="I11">
            <v>6877000</v>
          </cell>
          <cell r="J11">
            <v>5515000</v>
          </cell>
          <cell r="K11">
            <v>7599000</v>
          </cell>
          <cell r="L11">
            <v>13034000</v>
          </cell>
          <cell r="M11">
            <v>25062000</v>
          </cell>
          <cell r="N11">
            <v>29626000</v>
          </cell>
          <cell r="O11">
            <v>228809000</v>
          </cell>
        </row>
        <row r="12">
          <cell r="B12" t="str">
            <v>80</v>
          </cell>
          <cell r="C12">
            <v>39490000</v>
          </cell>
          <cell r="D12">
            <v>28021000</v>
          </cell>
          <cell r="E12">
            <v>27749000</v>
          </cell>
          <cell r="F12">
            <v>15536000</v>
          </cell>
          <cell r="G12">
            <v>10738000</v>
          </cell>
          <cell r="H12">
            <v>8125999.9999999991</v>
          </cell>
          <cell r="I12">
            <v>7174000</v>
          </cell>
          <cell r="J12">
            <v>5303000</v>
          </cell>
          <cell r="K12">
            <v>7389000</v>
          </cell>
          <cell r="L12">
            <v>11790000</v>
          </cell>
          <cell r="M12">
            <v>27563000</v>
          </cell>
          <cell r="N12">
            <v>34931000</v>
          </cell>
          <cell r="O12">
            <v>223810000</v>
          </cell>
        </row>
        <row r="13">
          <cell r="B13" t="str">
            <v>81</v>
          </cell>
          <cell r="C13">
            <v>38333000</v>
          </cell>
          <cell r="D13">
            <v>32098000</v>
          </cell>
          <cell r="E13">
            <v>25875000</v>
          </cell>
          <cell r="F13">
            <v>12420000</v>
          </cell>
          <cell r="G13">
            <v>10159000</v>
          </cell>
          <cell r="H13">
            <v>7308000</v>
          </cell>
          <cell r="I13">
            <v>6655000</v>
          </cell>
          <cell r="J13">
            <v>5200000</v>
          </cell>
          <cell r="K13">
            <v>7109000</v>
          </cell>
          <cell r="L13">
            <v>11329000</v>
          </cell>
          <cell r="M13">
            <v>22290000</v>
          </cell>
          <cell r="N13">
            <v>33479000</v>
          </cell>
          <cell r="O13">
            <v>212255000</v>
          </cell>
        </row>
        <row r="14">
          <cell r="B14" t="str">
            <v>82</v>
          </cell>
          <cell r="C14">
            <v>34936000</v>
          </cell>
          <cell r="D14">
            <v>32658000</v>
          </cell>
          <cell r="E14">
            <v>28446000</v>
          </cell>
          <cell r="F14">
            <v>14631000</v>
          </cell>
          <cell r="G14">
            <v>10548000</v>
          </cell>
          <cell r="H14">
            <v>7342000</v>
          </cell>
          <cell r="I14">
            <v>6324000</v>
          </cell>
          <cell r="J14">
            <v>5174000</v>
          </cell>
          <cell r="K14">
            <v>6832000</v>
          </cell>
          <cell r="L14">
            <v>10868000</v>
          </cell>
          <cell r="M14">
            <v>22873000</v>
          </cell>
          <cell r="N14">
            <v>29950000</v>
          </cell>
          <cell r="O14">
            <v>210582000</v>
          </cell>
        </row>
        <row r="15">
          <cell r="B15" t="str">
            <v>83</v>
          </cell>
          <cell r="C15">
            <v>29803000</v>
          </cell>
          <cell r="D15">
            <v>35834000</v>
          </cell>
          <cell r="E15">
            <v>28597000</v>
          </cell>
          <cell r="F15">
            <v>17946000</v>
          </cell>
          <cell r="G15">
            <v>10523000</v>
          </cell>
          <cell r="H15">
            <v>7813000</v>
          </cell>
          <cell r="I15">
            <v>6177000</v>
          </cell>
          <cell r="J15">
            <v>5043000</v>
          </cell>
          <cell r="K15">
            <v>6820000</v>
          </cell>
          <cell r="L15">
            <v>10503000</v>
          </cell>
          <cell r="M15">
            <v>26926000</v>
          </cell>
          <cell r="N15">
            <v>37632000</v>
          </cell>
          <cell r="O15">
            <v>223617000</v>
          </cell>
        </row>
        <row r="16">
          <cell r="B16" t="str">
            <v>84</v>
          </cell>
          <cell r="C16">
            <v>38269000</v>
          </cell>
          <cell r="D16">
            <v>38601000</v>
          </cell>
          <cell r="E16">
            <v>31427000</v>
          </cell>
          <cell r="F16">
            <v>17765000</v>
          </cell>
          <cell r="G16">
            <v>13913000</v>
          </cell>
          <cell r="H16">
            <v>9101000</v>
          </cell>
          <cell r="I16">
            <v>6971000</v>
          </cell>
          <cell r="J16">
            <v>5965000</v>
          </cell>
          <cell r="K16">
            <v>8424000</v>
          </cell>
          <cell r="L16">
            <v>10912000</v>
          </cell>
          <cell r="M16">
            <v>25220000</v>
          </cell>
          <cell r="N16">
            <v>35037000</v>
          </cell>
          <cell r="O16">
            <v>241605000</v>
          </cell>
        </row>
        <row r="17">
          <cell r="B17" t="str">
            <v>85</v>
          </cell>
          <cell r="C17">
            <v>53997243</v>
          </cell>
          <cell r="D17">
            <v>38900000</v>
          </cell>
          <cell r="E17">
            <v>35192852</v>
          </cell>
          <cell r="F17">
            <v>14659000</v>
          </cell>
          <cell r="G17">
            <v>12303454</v>
          </cell>
          <cell r="H17">
            <v>8619854</v>
          </cell>
          <cell r="I17">
            <v>7139074</v>
          </cell>
          <cell r="J17">
            <v>6063198</v>
          </cell>
          <cell r="K17">
            <v>7888000</v>
          </cell>
          <cell r="L17">
            <v>12057400</v>
          </cell>
          <cell r="M17">
            <v>36741000</v>
          </cell>
          <cell r="N17">
            <v>35508064</v>
          </cell>
          <cell r="O17">
            <v>269069139</v>
          </cell>
        </row>
        <row r="18">
          <cell r="B18" t="str">
            <v>86</v>
          </cell>
          <cell r="C18">
            <v>46832811</v>
          </cell>
          <cell r="D18">
            <v>51106995</v>
          </cell>
          <cell r="E18">
            <v>36057216</v>
          </cell>
          <cell r="F18">
            <v>23816122</v>
          </cell>
          <cell r="G18">
            <v>11428192</v>
          </cell>
          <cell r="H18">
            <v>9889602</v>
          </cell>
          <cell r="I18">
            <v>8913135</v>
          </cell>
          <cell r="J18">
            <v>7415063</v>
          </cell>
          <cell r="K18">
            <v>9374068</v>
          </cell>
          <cell r="L18">
            <v>12100550</v>
          </cell>
          <cell r="M18">
            <v>28388223</v>
          </cell>
          <cell r="N18">
            <v>43015476</v>
          </cell>
          <cell r="O18">
            <v>288337453</v>
          </cell>
        </row>
        <row r="19">
          <cell r="B19" t="str">
            <v>87</v>
          </cell>
          <cell r="C19">
            <v>53650884</v>
          </cell>
          <cell r="D19">
            <v>44425681</v>
          </cell>
          <cell r="E19">
            <v>43856014</v>
          </cell>
          <cell r="F19">
            <v>22672000</v>
          </cell>
          <cell r="G19">
            <v>13322000</v>
          </cell>
          <cell r="H19">
            <v>10200000</v>
          </cell>
          <cell r="I19">
            <v>8164000</v>
          </cell>
          <cell r="J19">
            <v>6749000</v>
          </cell>
          <cell r="K19">
            <v>8635000</v>
          </cell>
          <cell r="L19">
            <v>13135000</v>
          </cell>
          <cell r="M19">
            <v>30665000</v>
          </cell>
          <cell r="N19">
            <v>47922000</v>
          </cell>
          <cell r="O19">
            <v>303396579</v>
          </cell>
        </row>
        <row r="20">
          <cell r="B20" t="str">
            <v>88</v>
          </cell>
          <cell r="C20">
            <v>47789000</v>
          </cell>
          <cell r="D20">
            <v>43695000</v>
          </cell>
          <cell r="E20">
            <v>39299000</v>
          </cell>
          <cell r="F20">
            <v>22233000</v>
          </cell>
          <cell r="G20">
            <v>12284000</v>
          </cell>
          <cell r="H20">
            <v>10726302</v>
          </cell>
          <cell r="I20">
            <v>9015730</v>
          </cell>
          <cell r="J20">
            <v>7106438</v>
          </cell>
          <cell r="K20">
            <v>9933153</v>
          </cell>
          <cell r="L20">
            <v>12333041</v>
          </cell>
          <cell r="M20">
            <v>42572415</v>
          </cell>
          <cell r="N20">
            <v>51224977</v>
          </cell>
          <cell r="O20">
            <v>308212056</v>
          </cell>
        </row>
        <row r="21">
          <cell r="B21" t="str">
            <v>89</v>
          </cell>
          <cell r="C21">
            <v>49142357</v>
          </cell>
          <cell r="D21">
            <v>39968256</v>
          </cell>
          <cell r="E21">
            <v>33832307</v>
          </cell>
          <cell r="F21">
            <v>27017237</v>
          </cell>
          <cell r="G21">
            <v>12797699</v>
          </cell>
          <cell r="H21">
            <v>10081467</v>
          </cell>
          <cell r="I21">
            <v>8408574</v>
          </cell>
          <cell r="J21">
            <v>6583534</v>
          </cell>
          <cell r="K21">
            <v>10115923</v>
          </cell>
          <cell r="L21">
            <v>13271196</v>
          </cell>
          <cell r="M21">
            <v>41026708</v>
          </cell>
          <cell r="N21">
            <v>54645200</v>
          </cell>
          <cell r="O21">
            <v>306890458</v>
          </cell>
        </row>
        <row r="22">
          <cell r="B22" t="str">
            <v>90</v>
          </cell>
          <cell r="C22">
            <v>57564335</v>
          </cell>
          <cell r="D22">
            <v>39887497</v>
          </cell>
          <cell r="E22">
            <v>37437745</v>
          </cell>
          <cell r="F22">
            <v>32606861.000000004</v>
          </cell>
          <cell r="G22">
            <v>12346453</v>
          </cell>
          <cell r="H22">
            <v>11209295</v>
          </cell>
          <cell r="I22">
            <v>9639583</v>
          </cell>
          <cell r="J22">
            <v>7549682</v>
          </cell>
          <cell r="K22">
            <v>8849238</v>
          </cell>
          <cell r="L22">
            <v>15571445</v>
          </cell>
          <cell r="M22">
            <v>41043342</v>
          </cell>
          <cell r="N22">
            <v>68909502</v>
          </cell>
          <cell r="O22">
            <v>342614978</v>
          </cell>
        </row>
        <row r="23">
          <cell r="B23" t="str">
            <v>91</v>
          </cell>
          <cell r="C23">
            <v>62426876</v>
          </cell>
          <cell r="D23">
            <v>66624064</v>
          </cell>
          <cell r="E23">
            <v>38780142</v>
          </cell>
          <cell r="F23">
            <v>29676691</v>
          </cell>
          <cell r="G23">
            <v>22698490</v>
          </cell>
          <cell r="H23">
            <v>12433673</v>
          </cell>
          <cell r="I23">
            <v>9631473</v>
          </cell>
          <cell r="J23">
            <v>7760910</v>
          </cell>
          <cell r="K23">
            <v>10027550</v>
          </cell>
          <cell r="L23">
            <v>25549722</v>
          </cell>
          <cell r="M23">
            <v>49643214</v>
          </cell>
          <cell r="N23">
            <v>63214377</v>
          </cell>
          <cell r="O23">
            <v>398467182</v>
          </cell>
        </row>
        <row r="24">
          <cell r="B24" t="str">
            <v>92</v>
          </cell>
          <cell r="C24">
            <v>61205608</v>
          </cell>
          <cell r="D24">
            <v>50213655</v>
          </cell>
          <cell r="E24">
            <v>42819173</v>
          </cell>
          <cell r="F24">
            <v>31978268</v>
          </cell>
          <cell r="G24">
            <v>12952331</v>
          </cell>
          <cell r="H24">
            <v>11831643</v>
          </cell>
          <cell r="I24">
            <v>10542488</v>
          </cell>
          <cell r="J24">
            <v>7596488</v>
          </cell>
          <cell r="K24">
            <v>10685954</v>
          </cell>
          <cell r="L24">
            <v>25347291</v>
          </cell>
          <cell r="M24">
            <v>39918783</v>
          </cell>
          <cell r="N24">
            <v>60833614</v>
          </cell>
          <cell r="O24">
            <v>365925296</v>
          </cell>
        </row>
        <row r="25">
          <cell r="B25" t="str">
            <v>93</v>
          </cell>
          <cell r="C25">
            <v>58607124</v>
          </cell>
          <cell r="D25">
            <v>56122034</v>
          </cell>
          <cell r="E25">
            <v>54354208</v>
          </cell>
          <cell r="F25">
            <v>33032996</v>
          </cell>
          <cell r="G25">
            <v>14715516</v>
          </cell>
          <cell r="H25">
            <v>10856875</v>
          </cell>
          <cell r="I25">
            <v>10591157</v>
          </cell>
          <cell r="J25">
            <v>8124421</v>
          </cell>
          <cell r="K25">
            <v>11362788</v>
          </cell>
          <cell r="L25">
            <v>21836239</v>
          </cell>
          <cell r="M25">
            <v>54257386</v>
          </cell>
          <cell r="N25">
            <v>57248029</v>
          </cell>
          <cell r="O25">
            <v>391108773</v>
          </cell>
        </row>
        <row r="26">
          <cell r="B26" t="str">
            <v>94</v>
          </cell>
          <cell r="C26">
            <v>60823193</v>
          </cell>
          <cell r="D26">
            <v>59517337</v>
          </cell>
          <cell r="E26">
            <v>41273411</v>
          </cell>
          <cell r="F26">
            <v>32219675</v>
          </cell>
          <cell r="G26">
            <v>14622952</v>
          </cell>
          <cell r="H26">
            <v>12007071</v>
          </cell>
          <cell r="I26">
            <v>9486403</v>
          </cell>
          <cell r="J26">
            <v>7638601</v>
          </cell>
          <cell r="K26">
            <v>11701458</v>
          </cell>
          <cell r="L26">
            <v>22853609</v>
          </cell>
          <cell r="M26">
            <v>35815885</v>
          </cell>
          <cell r="N26">
            <v>56406291</v>
          </cell>
          <cell r="O26">
            <v>364365886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QUERY"/>
      <sheetName val="Loc Table"/>
    </sheetNames>
    <definedNames>
      <definedName name="Register.DClick" refersTo="='XLQUERY'!$B$5"/>
    </definedNames>
    <sheetDataSet>
      <sheetData sheetId="0" refreshError="1">
        <row r="5">
          <cell r="B5" t="b">
            <v>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ASICS"/>
      <sheetName val="UNIT CRNs"/>
      <sheetName val="Investment analysis"/>
      <sheetName val="CRN from EON"/>
      <sheetName val="ÉDÁSZ CRN"/>
      <sheetName val="Summary"/>
      <sheetName val="Check"/>
      <sheetName val="Data 4 Area Summ"/>
      <sheetName val="Data 4 Tech Summ"/>
      <sheetName val="Data 4 Ages"/>
      <sheetName val="Sub Load Levels"/>
      <sheetName val="Sub Count &amp; Type"/>
      <sheetName val="Sub Func."/>
      <sheetName val="Sub H &amp; M Volt"/>
      <sheetName val="TECH Summaries&gt;&gt;&gt;"/>
      <sheetName val="TechSum Underground CabLV"/>
      <sheetName val="TechSum Underground CabMV"/>
      <sheetName val="TechSum  Substations"/>
      <sheetName val="TechSum Cable Ducts"/>
      <sheetName val="TechSum Tr post indoor"/>
      <sheetName val="TechSum Tr post pole mount"/>
      <sheetName val="TechSum Meters"/>
      <sheetName val="TechSum Switches"/>
      <sheetName val="TechSum Cust. Connect"/>
      <sheetName val="TechSum IT (HV) line"/>
      <sheetName val="TechSum MT (MV) line"/>
      <sheetName val="TechSum JT (LV) lines"/>
      <sheetName val="TechSum Lines"/>
      <sheetName val="&gt;&gt; WORK &gt;&gt;"/>
    </sheetNames>
    <sheetDataSet>
      <sheetData sheetId="0"/>
      <sheetData sheetId="1">
        <row r="2">
          <cell r="A2">
            <v>0</v>
          </cell>
          <cell r="B2">
            <v>0</v>
          </cell>
        </row>
        <row r="3">
          <cell r="A3">
            <v>1</v>
          </cell>
          <cell r="B3">
            <v>0</v>
          </cell>
        </row>
        <row r="4">
          <cell r="A4">
            <v>10</v>
          </cell>
          <cell r="B4">
            <v>-1</v>
          </cell>
        </row>
        <row r="5">
          <cell r="A5">
            <v>100</v>
          </cell>
          <cell r="B5">
            <v>-1</v>
          </cell>
        </row>
        <row r="6">
          <cell r="A6">
            <v>1000</v>
          </cell>
          <cell r="B6">
            <v>-2</v>
          </cell>
        </row>
        <row r="7">
          <cell r="A7">
            <v>10000</v>
          </cell>
          <cell r="B7">
            <v>-2</v>
          </cell>
        </row>
        <row r="8">
          <cell r="A8">
            <v>100000</v>
          </cell>
          <cell r="B8">
            <v>-3</v>
          </cell>
        </row>
        <row r="9">
          <cell r="A9">
            <v>1000000</v>
          </cell>
          <cell r="B9">
            <v>-3</v>
          </cell>
        </row>
        <row r="10">
          <cell r="A10">
            <v>10000000</v>
          </cell>
          <cell r="B10">
            <v>-3</v>
          </cell>
        </row>
        <row r="11">
          <cell r="A11">
            <v>100000000</v>
          </cell>
          <cell r="B11">
            <v>-3</v>
          </cell>
        </row>
        <row r="12">
          <cell r="A12">
            <v>1000000000</v>
          </cell>
          <cell r="B12">
            <v>-4</v>
          </cell>
        </row>
        <row r="13">
          <cell r="A13">
            <v>10000000000</v>
          </cell>
          <cell r="B13">
            <v>-4</v>
          </cell>
        </row>
        <row r="14">
          <cell r="A14">
            <v>100000000000</v>
          </cell>
          <cell r="B14">
            <v>-4</v>
          </cell>
        </row>
        <row r="15">
          <cell r="A15">
            <v>1000000000000</v>
          </cell>
          <cell r="B15">
            <v>-5</v>
          </cell>
        </row>
        <row r="16">
          <cell r="A16">
            <v>10000000000000</v>
          </cell>
          <cell r="B16">
            <v>-5</v>
          </cell>
        </row>
        <row r="17">
          <cell r="A17">
            <v>100000000000000</v>
          </cell>
          <cell r="B17">
            <v>-5</v>
          </cell>
        </row>
        <row r="18">
          <cell r="A18">
            <v>1000000000000000</v>
          </cell>
          <cell r="B18">
            <v>-5</v>
          </cell>
        </row>
        <row r="19">
          <cell r="A19">
            <v>1E+16</v>
          </cell>
          <cell r="B19">
            <v>-5</v>
          </cell>
        </row>
        <row r="20">
          <cell r="A20">
            <v>1E+17</v>
          </cell>
          <cell r="B20">
            <v>-6</v>
          </cell>
        </row>
        <row r="21">
          <cell r="A21">
            <v>1E+18</v>
          </cell>
          <cell r="B21">
            <v>-6</v>
          </cell>
        </row>
        <row r="22">
          <cell r="A22">
            <v>1E+19</v>
          </cell>
          <cell r="B22">
            <v>-6</v>
          </cell>
        </row>
        <row r="25">
          <cell r="B25">
            <v>2005</v>
          </cell>
        </row>
      </sheetData>
      <sheetData sheetId="2">
        <row r="3">
          <cell r="B3" t="str">
            <v>Electric LinesCable0.4 kVsystem: 1Cable: one pole</v>
          </cell>
          <cell r="C3" t="str">
            <v>Electric Lines</v>
          </cell>
          <cell r="D3" t="str">
            <v>Cable</v>
          </cell>
          <cell r="E3" t="str">
            <v>0.4 kV</v>
          </cell>
          <cell r="F3" t="str">
            <v>system: 1</v>
          </cell>
          <cell r="G3" t="str">
            <v>Cable: one pole</v>
          </cell>
          <cell r="I3">
            <v>39900</v>
          </cell>
          <cell r="J3">
            <v>45</v>
          </cell>
          <cell r="K3">
            <v>0.95</v>
          </cell>
          <cell r="L3">
            <v>10</v>
          </cell>
          <cell r="M3">
            <v>0.04</v>
          </cell>
          <cell r="N3">
            <v>5</v>
          </cell>
          <cell r="O3">
            <v>57000</v>
          </cell>
          <cell r="Q3">
            <v>0.3</v>
          </cell>
        </row>
        <row r="4">
          <cell r="B4" t="str">
            <v>Electric LinesCable0.4 kVsystem: 1Cable: three poles</v>
          </cell>
          <cell r="C4" t="str">
            <v>Electric Lines</v>
          </cell>
          <cell r="D4" t="str">
            <v>Cable</v>
          </cell>
          <cell r="E4" t="str">
            <v>0.4 kV</v>
          </cell>
          <cell r="F4" t="str">
            <v>system: 1</v>
          </cell>
          <cell r="G4" t="str">
            <v>Cable: three poles</v>
          </cell>
          <cell r="I4">
            <v>32900</v>
          </cell>
          <cell r="J4">
            <v>45</v>
          </cell>
          <cell r="K4">
            <v>0.95</v>
          </cell>
          <cell r="L4">
            <v>10</v>
          </cell>
          <cell r="M4">
            <v>0.04</v>
          </cell>
          <cell r="N4">
            <v>5</v>
          </cell>
          <cell r="O4">
            <v>47000</v>
          </cell>
          <cell r="Q4">
            <v>0.3</v>
          </cell>
        </row>
        <row r="5">
          <cell r="B5" t="str">
            <v>Electric LinesCable0.4 kVsystem: 2Cable: three poles</v>
          </cell>
          <cell r="C5" t="str">
            <v>Electric Lines</v>
          </cell>
          <cell r="D5" t="str">
            <v>Cable</v>
          </cell>
          <cell r="E5" t="str">
            <v>0.4 kV</v>
          </cell>
          <cell r="F5" t="str">
            <v>system: 2</v>
          </cell>
          <cell r="G5" t="str">
            <v>Cable: three poles</v>
          </cell>
          <cell r="I5">
            <v>32900</v>
          </cell>
          <cell r="J5">
            <v>45</v>
          </cell>
          <cell r="K5">
            <v>0.95</v>
          </cell>
          <cell r="L5">
            <v>10</v>
          </cell>
          <cell r="M5">
            <v>0.04</v>
          </cell>
          <cell r="N5">
            <v>5</v>
          </cell>
          <cell r="O5">
            <v>47000</v>
          </cell>
          <cell r="Q5">
            <v>0.3</v>
          </cell>
        </row>
        <row r="6">
          <cell r="B6" t="str">
            <v>Electric LinesCable0.4 kVsystem: 3Cable: three poles</v>
          </cell>
          <cell r="C6" t="str">
            <v>Electric Lines</v>
          </cell>
          <cell r="D6" t="str">
            <v>Cable</v>
          </cell>
          <cell r="E6" t="str">
            <v>0.4 kV</v>
          </cell>
          <cell r="F6" t="str">
            <v>system: 3</v>
          </cell>
          <cell r="G6" t="str">
            <v>Cable: three poles</v>
          </cell>
          <cell r="I6">
            <v>32900</v>
          </cell>
          <cell r="J6">
            <v>45</v>
          </cell>
          <cell r="K6">
            <v>0.95</v>
          </cell>
          <cell r="L6">
            <v>10</v>
          </cell>
          <cell r="M6">
            <v>0.04</v>
          </cell>
          <cell r="N6">
            <v>5</v>
          </cell>
          <cell r="O6">
            <v>47000</v>
          </cell>
          <cell r="Q6">
            <v>0.3</v>
          </cell>
        </row>
        <row r="7">
          <cell r="B7" t="str">
            <v>Electric LinesCable0.4 kVsystem: 4Cable: three poles</v>
          </cell>
          <cell r="C7" t="str">
            <v>Electric Lines</v>
          </cell>
          <cell r="D7" t="str">
            <v>Cable</v>
          </cell>
          <cell r="E7" t="str">
            <v>0.4 kV</v>
          </cell>
          <cell r="F7" t="str">
            <v>system: 4</v>
          </cell>
          <cell r="G7" t="str">
            <v>Cable: three poles</v>
          </cell>
          <cell r="I7">
            <v>32900</v>
          </cell>
          <cell r="J7">
            <v>45</v>
          </cell>
          <cell r="K7">
            <v>0.95</v>
          </cell>
          <cell r="L7">
            <v>10</v>
          </cell>
          <cell r="M7">
            <v>0.04</v>
          </cell>
          <cell r="N7">
            <v>5</v>
          </cell>
          <cell r="O7">
            <v>47000</v>
          </cell>
          <cell r="Q7">
            <v>0.3</v>
          </cell>
        </row>
        <row r="8">
          <cell r="B8" t="str">
            <v>Electric LinesCable0.4 kVsystem: 5Cable: three poles</v>
          </cell>
          <cell r="C8" t="str">
            <v>Electric Lines</v>
          </cell>
          <cell r="D8" t="str">
            <v>Cable</v>
          </cell>
          <cell r="E8" t="str">
            <v>0.4 kV</v>
          </cell>
          <cell r="F8" t="str">
            <v>system: 5</v>
          </cell>
          <cell r="G8" t="str">
            <v>Cable: three poles</v>
          </cell>
          <cell r="I8">
            <v>32900</v>
          </cell>
          <cell r="J8">
            <v>45</v>
          </cell>
          <cell r="K8">
            <v>0.95</v>
          </cell>
          <cell r="L8">
            <v>10</v>
          </cell>
          <cell r="M8">
            <v>0.04</v>
          </cell>
          <cell r="N8">
            <v>5</v>
          </cell>
          <cell r="O8">
            <v>47000</v>
          </cell>
          <cell r="Q8">
            <v>0.3</v>
          </cell>
        </row>
        <row r="9">
          <cell r="B9" t="str">
            <v>Electric LinesCable0.4 kVsystem: 6Cable: three poles</v>
          </cell>
          <cell r="C9" t="str">
            <v>Electric Lines</v>
          </cell>
          <cell r="D9" t="str">
            <v>Cable</v>
          </cell>
          <cell r="E9" t="str">
            <v>0.4 kV</v>
          </cell>
          <cell r="F9" t="str">
            <v>system: 6</v>
          </cell>
          <cell r="G9" t="str">
            <v>Cable: three poles</v>
          </cell>
          <cell r="I9">
            <v>32900</v>
          </cell>
          <cell r="J9">
            <v>45</v>
          </cell>
          <cell r="K9">
            <v>0.95</v>
          </cell>
          <cell r="L9">
            <v>10</v>
          </cell>
          <cell r="M9">
            <v>0.04</v>
          </cell>
          <cell r="N9">
            <v>5</v>
          </cell>
          <cell r="O9">
            <v>47000</v>
          </cell>
          <cell r="Q9">
            <v>0.3</v>
          </cell>
        </row>
        <row r="10">
          <cell r="B10" t="str">
            <v>Electric LinesCable0.4 kVsystem: 7Cable: three poles</v>
          </cell>
          <cell r="C10" t="str">
            <v>Electric Lines</v>
          </cell>
          <cell r="D10" t="str">
            <v>Cable</v>
          </cell>
          <cell r="E10" t="str">
            <v>0.4 kV</v>
          </cell>
          <cell r="F10" t="str">
            <v>system: 7</v>
          </cell>
          <cell r="G10" t="str">
            <v>Cable: three poles</v>
          </cell>
          <cell r="I10">
            <v>32900</v>
          </cell>
          <cell r="J10">
            <v>45</v>
          </cell>
          <cell r="K10">
            <v>0.95</v>
          </cell>
          <cell r="L10">
            <v>10</v>
          </cell>
          <cell r="M10">
            <v>0.04</v>
          </cell>
          <cell r="N10">
            <v>5</v>
          </cell>
          <cell r="O10">
            <v>47000</v>
          </cell>
          <cell r="Q10">
            <v>0.3</v>
          </cell>
        </row>
        <row r="11">
          <cell r="B11" t="str">
            <v>Electric LinesCable0.4 kVsystem: 8Cable: three poles</v>
          </cell>
          <cell r="C11" t="str">
            <v>Electric Lines</v>
          </cell>
          <cell r="D11" t="str">
            <v>Cable</v>
          </cell>
          <cell r="E11" t="str">
            <v>0.4 kV</v>
          </cell>
          <cell r="F11" t="str">
            <v>system: 8</v>
          </cell>
          <cell r="G11" t="str">
            <v>Cable: three poles</v>
          </cell>
          <cell r="I11">
            <v>32900</v>
          </cell>
          <cell r="J11">
            <v>45</v>
          </cell>
          <cell r="K11">
            <v>0.95</v>
          </cell>
          <cell r="L11">
            <v>10</v>
          </cell>
          <cell r="M11">
            <v>0.04</v>
          </cell>
          <cell r="N11">
            <v>5</v>
          </cell>
          <cell r="O11">
            <v>47000</v>
          </cell>
          <cell r="Q11">
            <v>0.3</v>
          </cell>
        </row>
        <row r="12">
          <cell r="B12" t="str">
            <v>Electric LinesCable0.4 kVsystem: 9Cable: three poles</v>
          </cell>
          <cell r="C12" t="str">
            <v>Electric Lines</v>
          </cell>
          <cell r="D12" t="str">
            <v>Cable</v>
          </cell>
          <cell r="E12" t="str">
            <v>0.4 kV</v>
          </cell>
          <cell r="F12" t="str">
            <v>system: 9</v>
          </cell>
          <cell r="G12" t="str">
            <v>Cable: three poles</v>
          </cell>
          <cell r="I12">
            <v>32900</v>
          </cell>
          <cell r="J12">
            <v>45</v>
          </cell>
          <cell r="K12">
            <v>0.95</v>
          </cell>
          <cell r="L12">
            <v>10</v>
          </cell>
          <cell r="M12">
            <v>0.04</v>
          </cell>
          <cell r="N12">
            <v>5</v>
          </cell>
          <cell r="O12">
            <v>47000</v>
          </cell>
          <cell r="Q12">
            <v>0.3</v>
          </cell>
        </row>
        <row r="13">
          <cell r="B13" t="str">
            <v>Electric LinesCable20 kVsystem: 1Cable: three poles</v>
          </cell>
          <cell r="C13" t="str">
            <v>Electric Lines</v>
          </cell>
          <cell r="D13" t="str">
            <v>Cable</v>
          </cell>
          <cell r="E13" t="str">
            <v>20 kV</v>
          </cell>
          <cell r="F13" t="str">
            <v>system: 1</v>
          </cell>
          <cell r="G13" t="str">
            <v>Cable: three poles</v>
          </cell>
          <cell r="I13">
            <v>35770</v>
          </cell>
          <cell r="J13">
            <v>45</v>
          </cell>
          <cell r="K13">
            <v>0.95</v>
          </cell>
          <cell r="L13">
            <v>10</v>
          </cell>
          <cell r="M13">
            <v>0.04</v>
          </cell>
          <cell r="N13">
            <v>5</v>
          </cell>
          <cell r="O13">
            <v>51100</v>
          </cell>
          <cell r="Q13">
            <v>0.3</v>
          </cell>
        </row>
        <row r="14">
          <cell r="B14" t="str">
            <v>Electric LinesCable20 kVsystem: 1Cable: one pole</v>
          </cell>
          <cell r="C14" t="str">
            <v>Electric Lines</v>
          </cell>
          <cell r="D14" t="str">
            <v>Cable</v>
          </cell>
          <cell r="E14" t="str">
            <v>20 kV</v>
          </cell>
          <cell r="F14" t="str">
            <v>system: 1</v>
          </cell>
          <cell r="G14" t="str">
            <v>Cable: one pole</v>
          </cell>
          <cell r="I14">
            <v>43400</v>
          </cell>
          <cell r="J14">
            <v>45</v>
          </cell>
          <cell r="K14">
            <v>0.95</v>
          </cell>
          <cell r="L14">
            <v>10</v>
          </cell>
          <cell r="M14">
            <v>0.04</v>
          </cell>
          <cell r="N14">
            <v>5</v>
          </cell>
          <cell r="O14">
            <v>62000</v>
          </cell>
          <cell r="Q14">
            <v>0.3</v>
          </cell>
        </row>
        <row r="15">
          <cell r="B15" t="str">
            <v>Electric LinesCable6 kVsystem: 1Cable: one pole</v>
          </cell>
          <cell r="C15" t="str">
            <v>Electric Lines</v>
          </cell>
          <cell r="D15" t="str">
            <v>Cable</v>
          </cell>
          <cell r="E15" t="str">
            <v>6 kV</v>
          </cell>
          <cell r="F15" t="str">
            <v>system: 1</v>
          </cell>
          <cell r="G15" t="str">
            <v>Cable: one pole</v>
          </cell>
          <cell r="I15">
            <v>41650</v>
          </cell>
          <cell r="J15">
            <v>45</v>
          </cell>
          <cell r="K15">
            <v>0.95</v>
          </cell>
          <cell r="L15">
            <v>10</v>
          </cell>
          <cell r="M15">
            <v>0.04</v>
          </cell>
          <cell r="N15">
            <v>5</v>
          </cell>
          <cell r="O15">
            <v>59500</v>
          </cell>
          <cell r="Q15">
            <v>0.3</v>
          </cell>
        </row>
        <row r="16">
          <cell r="B16" t="str">
            <v>Electric LinesCable6 kVsystem: 1Cable: three poles</v>
          </cell>
          <cell r="C16" t="str">
            <v>Electric Lines</v>
          </cell>
          <cell r="D16" t="str">
            <v>Cable</v>
          </cell>
          <cell r="E16" t="str">
            <v>6 kV</v>
          </cell>
          <cell r="F16" t="str">
            <v>system: 1</v>
          </cell>
          <cell r="G16" t="str">
            <v>Cable: three poles</v>
          </cell>
          <cell r="I16">
            <v>34300</v>
          </cell>
          <cell r="J16">
            <v>45</v>
          </cell>
          <cell r="K16">
            <v>0.95</v>
          </cell>
          <cell r="L16">
            <v>10</v>
          </cell>
          <cell r="M16">
            <v>0.04</v>
          </cell>
          <cell r="N16">
            <v>5</v>
          </cell>
          <cell r="O16">
            <v>49000</v>
          </cell>
          <cell r="Q16">
            <v>0.3</v>
          </cell>
        </row>
        <row r="17">
          <cell r="B17" t="str">
            <v>Electric LinesCable20 kVsystem: 2Cable: one pole</v>
          </cell>
          <cell r="C17" t="str">
            <v>Electric Lines</v>
          </cell>
          <cell r="D17" t="str">
            <v>Cable</v>
          </cell>
          <cell r="E17" t="str">
            <v>20 kV</v>
          </cell>
          <cell r="F17" t="str">
            <v>system: 2</v>
          </cell>
          <cell r="G17" t="str">
            <v>Cable: one pole</v>
          </cell>
          <cell r="I17">
            <v>45500</v>
          </cell>
          <cell r="J17">
            <v>45</v>
          </cell>
          <cell r="K17">
            <v>0.95</v>
          </cell>
          <cell r="L17">
            <v>10</v>
          </cell>
          <cell r="M17">
            <v>0.04</v>
          </cell>
          <cell r="N17">
            <v>5</v>
          </cell>
          <cell r="O17">
            <v>65000</v>
          </cell>
          <cell r="Q17">
            <v>0.3</v>
          </cell>
        </row>
        <row r="18">
          <cell r="B18" t="str">
            <v>Electric LinesCable20 kVsystem: 2Cable: three poles</v>
          </cell>
          <cell r="C18" t="str">
            <v>Electric Lines</v>
          </cell>
          <cell r="D18" t="str">
            <v>Cable</v>
          </cell>
          <cell r="E18" t="str">
            <v>20 kV</v>
          </cell>
          <cell r="F18" t="str">
            <v>system: 2</v>
          </cell>
          <cell r="G18" t="str">
            <v>Cable: three poles</v>
          </cell>
          <cell r="I18">
            <v>43400</v>
          </cell>
          <cell r="J18">
            <v>45</v>
          </cell>
          <cell r="K18">
            <v>0.95</v>
          </cell>
          <cell r="L18">
            <v>10</v>
          </cell>
          <cell r="M18">
            <v>0.04</v>
          </cell>
          <cell r="N18">
            <v>5</v>
          </cell>
          <cell r="O18">
            <v>62000</v>
          </cell>
          <cell r="Q18">
            <v>0.3</v>
          </cell>
        </row>
        <row r="19">
          <cell r="B19" t="str">
            <v>PoleMetal</v>
          </cell>
          <cell r="C19" t="str">
            <v>Pole</v>
          </cell>
          <cell r="D19" t="str">
            <v>Metal</v>
          </cell>
          <cell r="I19">
            <v>750</v>
          </cell>
          <cell r="K19">
            <v>0.95</v>
          </cell>
          <cell r="M19">
            <v>0.04</v>
          </cell>
          <cell r="N19">
            <v>5</v>
          </cell>
          <cell r="O19">
            <v>750</v>
          </cell>
        </row>
        <row r="20">
          <cell r="B20" t="str">
            <v>PoleConcrete</v>
          </cell>
          <cell r="C20" t="str">
            <v>Pole</v>
          </cell>
          <cell r="D20" t="str">
            <v>Concrete</v>
          </cell>
          <cell r="I20">
            <v>650</v>
          </cell>
          <cell r="K20">
            <v>0.95</v>
          </cell>
          <cell r="M20">
            <v>0.04</v>
          </cell>
          <cell r="N20">
            <v>5</v>
          </cell>
          <cell r="O20">
            <v>650</v>
          </cell>
        </row>
        <row r="21">
          <cell r="B21" t="str">
            <v>PoleWood</v>
          </cell>
          <cell r="C21" t="str">
            <v>Pole</v>
          </cell>
          <cell r="D21" t="str">
            <v>Wood</v>
          </cell>
          <cell r="I21">
            <v>500</v>
          </cell>
          <cell r="K21">
            <v>0.95</v>
          </cell>
          <cell r="M21">
            <v>0.04</v>
          </cell>
          <cell r="N21">
            <v>5</v>
          </cell>
          <cell r="O21">
            <v>500</v>
          </cell>
        </row>
        <row r="22">
          <cell r="B22" t="str">
            <v>PolePolycarbonat</v>
          </cell>
          <cell r="C22" t="str">
            <v>Pole</v>
          </cell>
          <cell r="D22" t="str">
            <v>Polycarbonat</v>
          </cell>
          <cell r="I22">
            <v>500</v>
          </cell>
          <cell r="K22">
            <v>0.95</v>
          </cell>
          <cell r="M22">
            <v>0.04</v>
          </cell>
          <cell r="N22">
            <v>5</v>
          </cell>
          <cell r="O22">
            <v>500</v>
          </cell>
        </row>
        <row r="23">
          <cell r="B23" t="str">
            <v>Electric LinesCable20 kVsystem: 3Cable: three poles</v>
          </cell>
          <cell r="C23" t="str">
            <v>Electric Lines</v>
          </cell>
          <cell r="D23" t="str">
            <v>Cable</v>
          </cell>
          <cell r="E23" t="str">
            <v>20 kV</v>
          </cell>
          <cell r="F23" t="str">
            <v>system: 3</v>
          </cell>
          <cell r="G23" t="str">
            <v>Cable: three poles</v>
          </cell>
          <cell r="I23">
            <v>45500</v>
          </cell>
          <cell r="J23">
            <v>45</v>
          </cell>
          <cell r="K23">
            <v>0.95</v>
          </cell>
          <cell r="L23">
            <v>10</v>
          </cell>
          <cell r="M23">
            <v>0.04</v>
          </cell>
          <cell r="N23">
            <v>5</v>
          </cell>
          <cell r="O23">
            <v>65000</v>
          </cell>
          <cell r="Q23">
            <v>0.3</v>
          </cell>
        </row>
        <row r="24">
          <cell r="B24" t="str">
            <v>Electric LinesCable10 kVsystem: 1Cable: three poles</v>
          </cell>
          <cell r="C24" t="str">
            <v>Electric Lines</v>
          </cell>
          <cell r="D24" t="str">
            <v>Cable</v>
          </cell>
          <cell r="E24" t="str">
            <v>10 kV</v>
          </cell>
          <cell r="F24" t="str">
            <v>system: 1</v>
          </cell>
          <cell r="G24" t="str">
            <v>Cable: three poles</v>
          </cell>
          <cell r="I24">
            <v>34300</v>
          </cell>
          <cell r="J24">
            <v>45</v>
          </cell>
          <cell r="K24">
            <v>0.95</v>
          </cell>
          <cell r="L24">
            <v>10</v>
          </cell>
          <cell r="M24">
            <v>0.04</v>
          </cell>
          <cell r="N24">
            <v>5</v>
          </cell>
          <cell r="O24">
            <v>49000</v>
          </cell>
          <cell r="Q24">
            <v>0.3</v>
          </cell>
        </row>
        <row r="25">
          <cell r="B25" t="str">
            <v>Electric LinesCable10 kVsystem: 1Cable: one pole</v>
          </cell>
          <cell r="C25" t="str">
            <v>Electric Lines</v>
          </cell>
          <cell r="D25" t="str">
            <v>Cable</v>
          </cell>
          <cell r="E25" t="str">
            <v>10 kV</v>
          </cell>
          <cell r="F25" t="str">
            <v>system: 1</v>
          </cell>
          <cell r="G25" t="str">
            <v>Cable: one pole</v>
          </cell>
          <cell r="I25">
            <v>43400</v>
          </cell>
          <cell r="J25">
            <v>45</v>
          </cell>
          <cell r="K25">
            <v>0.95</v>
          </cell>
          <cell r="L25">
            <v>10</v>
          </cell>
          <cell r="M25">
            <v>0.04</v>
          </cell>
          <cell r="N25">
            <v>5</v>
          </cell>
          <cell r="O25">
            <v>62000</v>
          </cell>
          <cell r="Q25">
            <v>0.3</v>
          </cell>
        </row>
        <row r="26">
          <cell r="B26" t="str">
            <v>Electric LinesCable10 kVsystem: 2Cable: three poles</v>
          </cell>
          <cell r="C26" t="str">
            <v>Electric Lines</v>
          </cell>
          <cell r="D26" t="str">
            <v>Cable</v>
          </cell>
          <cell r="E26" t="str">
            <v>10 kV</v>
          </cell>
          <cell r="F26" t="str">
            <v>system: 2</v>
          </cell>
          <cell r="G26" t="str">
            <v>Cable: three poles</v>
          </cell>
          <cell r="I26">
            <v>35700</v>
          </cell>
          <cell r="J26">
            <v>45</v>
          </cell>
          <cell r="K26">
            <v>0.95</v>
          </cell>
          <cell r="L26">
            <v>10</v>
          </cell>
          <cell r="M26">
            <v>0.04</v>
          </cell>
          <cell r="N26">
            <v>5</v>
          </cell>
          <cell r="O26">
            <v>51000</v>
          </cell>
          <cell r="Q26">
            <v>0.3</v>
          </cell>
        </row>
        <row r="27">
          <cell r="B27" t="str">
            <v>Electric LinesCable6 kVsystem: 2Cable: three poles</v>
          </cell>
          <cell r="C27" t="str">
            <v>Electric Lines</v>
          </cell>
          <cell r="D27" t="str">
            <v>Cable</v>
          </cell>
          <cell r="E27" t="str">
            <v>6 kV</v>
          </cell>
          <cell r="F27" t="str">
            <v>system: 2</v>
          </cell>
          <cell r="G27" t="str">
            <v>Cable: three poles</v>
          </cell>
          <cell r="I27">
            <v>35700</v>
          </cell>
          <cell r="J27">
            <v>45</v>
          </cell>
          <cell r="K27">
            <v>0.95</v>
          </cell>
          <cell r="L27">
            <v>10</v>
          </cell>
          <cell r="M27">
            <v>0.04</v>
          </cell>
          <cell r="N27">
            <v>5</v>
          </cell>
          <cell r="O27">
            <v>51000</v>
          </cell>
          <cell r="Q27">
            <v>0.3</v>
          </cell>
        </row>
        <row r="28">
          <cell r="B28" t="str">
            <v>Electric LinesCable6 kVsystem: 3Cable: three poles</v>
          </cell>
          <cell r="C28" t="str">
            <v>Electric Lines</v>
          </cell>
          <cell r="D28" t="str">
            <v>Cable</v>
          </cell>
          <cell r="E28" t="str">
            <v>6 kV</v>
          </cell>
          <cell r="F28" t="str">
            <v>system: 3</v>
          </cell>
          <cell r="G28" t="str">
            <v>Cable: three poles</v>
          </cell>
          <cell r="I28">
            <v>36400</v>
          </cell>
          <cell r="J28">
            <v>45</v>
          </cell>
          <cell r="K28">
            <v>0.95</v>
          </cell>
          <cell r="L28">
            <v>10</v>
          </cell>
          <cell r="M28">
            <v>0.04</v>
          </cell>
          <cell r="N28">
            <v>5</v>
          </cell>
          <cell r="O28">
            <v>52000</v>
          </cell>
          <cell r="Q28">
            <v>0.3</v>
          </cell>
        </row>
        <row r="29">
          <cell r="B29" t="str">
            <v>Electric LinesCable6 kVsystem: 4Cable: three poles</v>
          </cell>
          <cell r="C29" t="str">
            <v>Electric Lines</v>
          </cell>
          <cell r="D29" t="str">
            <v>Cable</v>
          </cell>
          <cell r="E29" t="str">
            <v>6 kV</v>
          </cell>
          <cell r="F29" t="str">
            <v>system: 4</v>
          </cell>
          <cell r="G29" t="str">
            <v>Cable: three poles</v>
          </cell>
          <cell r="I29">
            <v>37100</v>
          </cell>
          <cell r="J29">
            <v>45</v>
          </cell>
          <cell r="K29">
            <v>0.95</v>
          </cell>
          <cell r="L29">
            <v>10</v>
          </cell>
          <cell r="M29">
            <v>0.04</v>
          </cell>
          <cell r="N29">
            <v>5</v>
          </cell>
          <cell r="O29">
            <v>53000</v>
          </cell>
          <cell r="Q29">
            <v>0.3</v>
          </cell>
        </row>
        <row r="30">
          <cell r="B30" t="str">
            <v>Electric LinesCable6 kVsystem: 5Cable: three poles</v>
          </cell>
          <cell r="C30" t="str">
            <v>Electric Lines</v>
          </cell>
          <cell r="D30" t="str">
            <v>Cable</v>
          </cell>
          <cell r="E30" t="str">
            <v>6 kV</v>
          </cell>
          <cell r="F30" t="str">
            <v>system: 5</v>
          </cell>
          <cell r="G30" t="str">
            <v>Cable: three poles</v>
          </cell>
          <cell r="I30">
            <v>37800</v>
          </cell>
          <cell r="J30">
            <v>45</v>
          </cell>
          <cell r="K30">
            <v>0.95</v>
          </cell>
          <cell r="L30">
            <v>10</v>
          </cell>
          <cell r="M30">
            <v>0.04</v>
          </cell>
          <cell r="N30">
            <v>5</v>
          </cell>
          <cell r="O30">
            <v>54000</v>
          </cell>
          <cell r="Q30">
            <v>0.3</v>
          </cell>
        </row>
        <row r="31">
          <cell r="B31" t="str">
            <v>Land ImprovementsCable ductConcrete</v>
          </cell>
          <cell r="C31" t="str">
            <v>Land Improvements</v>
          </cell>
          <cell r="D31" t="str">
            <v>Cable duct</v>
          </cell>
          <cell r="E31" t="str">
            <v>Concrete</v>
          </cell>
          <cell r="I31">
            <v>35000</v>
          </cell>
          <cell r="J31">
            <v>50</v>
          </cell>
          <cell r="K31">
            <v>0.95</v>
          </cell>
          <cell r="L31">
            <v>10</v>
          </cell>
          <cell r="M31">
            <v>0.04</v>
          </cell>
          <cell r="N31">
            <v>5</v>
          </cell>
          <cell r="O31">
            <v>35000</v>
          </cell>
        </row>
        <row r="32">
          <cell r="B32" t="str">
            <v>Transformer Stationpole mounted0.4/0.7 kV40</v>
          </cell>
          <cell r="C32" t="str">
            <v>Transformer Station</v>
          </cell>
          <cell r="D32" t="str">
            <v>pole mounted</v>
          </cell>
          <cell r="E32" t="str">
            <v>0.4/0.7 kV</v>
          </cell>
          <cell r="H32">
            <v>40</v>
          </cell>
          <cell r="I32">
            <v>5000</v>
          </cell>
          <cell r="J32">
            <v>25</v>
          </cell>
          <cell r="K32">
            <v>0.95</v>
          </cell>
          <cell r="L32">
            <v>5</v>
          </cell>
          <cell r="M32">
            <v>0.04</v>
          </cell>
          <cell r="N32">
            <v>5</v>
          </cell>
          <cell r="O32">
            <v>5000</v>
          </cell>
        </row>
        <row r="33">
          <cell r="B33" t="str">
            <v>Transformer Stationpole mounted0.4/1 kV25</v>
          </cell>
          <cell r="C33" t="str">
            <v>Transformer Station</v>
          </cell>
          <cell r="D33" t="str">
            <v>pole mounted</v>
          </cell>
          <cell r="E33" t="str">
            <v>0.4/1 kV</v>
          </cell>
          <cell r="H33">
            <v>25</v>
          </cell>
          <cell r="I33">
            <v>5000</v>
          </cell>
          <cell r="J33">
            <v>25</v>
          </cell>
          <cell r="K33">
            <v>0.95</v>
          </cell>
          <cell r="L33">
            <v>5</v>
          </cell>
          <cell r="M33">
            <v>0.04</v>
          </cell>
          <cell r="N33">
            <v>5</v>
          </cell>
          <cell r="O33">
            <v>5000</v>
          </cell>
        </row>
        <row r="34">
          <cell r="B34" t="str">
            <v>Transformer Stationpole mounted0.4/1 kV63</v>
          </cell>
          <cell r="C34" t="str">
            <v>Transformer Station</v>
          </cell>
          <cell r="D34" t="str">
            <v>pole mounted</v>
          </cell>
          <cell r="E34" t="str">
            <v>0.4/1 kV</v>
          </cell>
          <cell r="H34">
            <v>63</v>
          </cell>
          <cell r="I34">
            <v>5000</v>
          </cell>
          <cell r="J34">
            <v>25</v>
          </cell>
          <cell r="K34">
            <v>0.95</v>
          </cell>
          <cell r="L34">
            <v>5</v>
          </cell>
          <cell r="M34">
            <v>0.04</v>
          </cell>
          <cell r="N34">
            <v>5</v>
          </cell>
          <cell r="O34">
            <v>5000</v>
          </cell>
        </row>
        <row r="35">
          <cell r="B35" t="str">
            <v>Transformer Stationpole mounted0.7/0.4 kV40</v>
          </cell>
          <cell r="C35" t="str">
            <v>Transformer Station</v>
          </cell>
          <cell r="D35" t="str">
            <v>pole mounted</v>
          </cell>
          <cell r="E35" t="str">
            <v>0.7/0.4 kV</v>
          </cell>
          <cell r="H35">
            <v>40</v>
          </cell>
          <cell r="I35">
            <v>5000</v>
          </cell>
          <cell r="J35">
            <v>25</v>
          </cell>
          <cell r="K35">
            <v>0.95</v>
          </cell>
          <cell r="L35">
            <v>5</v>
          </cell>
          <cell r="M35">
            <v>0.04</v>
          </cell>
          <cell r="N35">
            <v>5</v>
          </cell>
          <cell r="O35">
            <v>5000</v>
          </cell>
        </row>
        <row r="36">
          <cell r="B36" t="str">
            <v>Transformer Stationpole mounted1/0.4 kV10</v>
          </cell>
          <cell r="C36" t="str">
            <v>Transformer Station</v>
          </cell>
          <cell r="D36" t="str">
            <v>pole mounted</v>
          </cell>
          <cell r="E36" t="str">
            <v>1/0.4 kV</v>
          </cell>
          <cell r="H36">
            <v>10</v>
          </cell>
          <cell r="I36">
            <v>5000</v>
          </cell>
          <cell r="J36">
            <v>25</v>
          </cell>
          <cell r="K36">
            <v>0.95</v>
          </cell>
          <cell r="L36">
            <v>5</v>
          </cell>
          <cell r="M36">
            <v>0.04</v>
          </cell>
          <cell r="N36">
            <v>5</v>
          </cell>
          <cell r="O36">
            <v>5000</v>
          </cell>
        </row>
        <row r="37">
          <cell r="B37" t="str">
            <v>Transformer Stationpole mounted1/0.4 kV16</v>
          </cell>
          <cell r="C37" t="str">
            <v>Transformer Station</v>
          </cell>
          <cell r="D37" t="str">
            <v>pole mounted</v>
          </cell>
          <cell r="E37" t="str">
            <v>1/0.4 kV</v>
          </cell>
          <cell r="H37">
            <v>16</v>
          </cell>
          <cell r="I37">
            <v>5000</v>
          </cell>
          <cell r="J37">
            <v>25</v>
          </cell>
          <cell r="K37">
            <v>0.95</v>
          </cell>
          <cell r="L37">
            <v>5</v>
          </cell>
          <cell r="M37">
            <v>0.04</v>
          </cell>
          <cell r="N37">
            <v>5</v>
          </cell>
          <cell r="O37">
            <v>5000</v>
          </cell>
        </row>
        <row r="38">
          <cell r="B38" t="str">
            <v>Transformer Stationpole mounted1/0.4 kV25</v>
          </cell>
          <cell r="C38" t="str">
            <v>Transformer Station</v>
          </cell>
          <cell r="D38" t="str">
            <v>pole mounted</v>
          </cell>
          <cell r="E38" t="str">
            <v>1/0.4 kV</v>
          </cell>
          <cell r="H38">
            <v>25</v>
          </cell>
          <cell r="I38">
            <v>5500</v>
          </cell>
          <cell r="J38">
            <v>25</v>
          </cell>
          <cell r="K38">
            <v>0.95</v>
          </cell>
          <cell r="L38">
            <v>5</v>
          </cell>
          <cell r="M38">
            <v>0.04</v>
          </cell>
          <cell r="N38">
            <v>5</v>
          </cell>
          <cell r="O38">
            <v>5500</v>
          </cell>
        </row>
        <row r="39">
          <cell r="B39" t="str">
            <v>Transformer Stationpole mounted1/0.4 kV40</v>
          </cell>
          <cell r="C39" t="str">
            <v>Transformer Station</v>
          </cell>
          <cell r="D39" t="str">
            <v>pole mounted</v>
          </cell>
          <cell r="E39" t="str">
            <v>1/0.4 kV</v>
          </cell>
          <cell r="H39">
            <v>40</v>
          </cell>
          <cell r="I39">
            <v>6000</v>
          </cell>
          <cell r="J39">
            <v>25</v>
          </cell>
          <cell r="K39">
            <v>0.95</v>
          </cell>
          <cell r="L39">
            <v>5</v>
          </cell>
          <cell r="M39">
            <v>0.04</v>
          </cell>
          <cell r="N39">
            <v>5</v>
          </cell>
          <cell r="O39">
            <v>6000</v>
          </cell>
        </row>
        <row r="40">
          <cell r="B40" t="str">
            <v>Transformer Stationpole mounted10/0.4 kV400</v>
          </cell>
          <cell r="C40" t="str">
            <v>Transformer Station</v>
          </cell>
          <cell r="D40" t="str">
            <v>pole mounted</v>
          </cell>
          <cell r="E40" t="str">
            <v>10/0.4 kV</v>
          </cell>
          <cell r="H40">
            <v>400</v>
          </cell>
          <cell r="I40">
            <v>13000</v>
          </cell>
          <cell r="J40">
            <v>25</v>
          </cell>
          <cell r="K40">
            <v>0.95</v>
          </cell>
          <cell r="L40">
            <v>5</v>
          </cell>
          <cell r="M40">
            <v>0.04</v>
          </cell>
          <cell r="N40">
            <v>5</v>
          </cell>
          <cell r="O40">
            <v>13000</v>
          </cell>
        </row>
        <row r="41">
          <cell r="B41" t="str">
            <v>Transformer Stationpole mounted15/0.4 kV30</v>
          </cell>
          <cell r="C41" t="str">
            <v>Transformer Station</v>
          </cell>
          <cell r="D41" t="str">
            <v>pole mounted</v>
          </cell>
          <cell r="E41" t="str">
            <v>15/0.4 kV</v>
          </cell>
          <cell r="H41">
            <v>30</v>
          </cell>
          <cell r="I41">
            <v>7800</v>
          </cell>
          <cell r="J41">
            <v>25</v>
          </cell>
          <cell r="K41">
            <v>0.95</v>
          </cell>
          <cell r="L41">
            <v>5</v>
          </cell>
          <cell r="M41">
            <v>0.04</v>
          </cell>
          <cell r="N41">
            <v>5</v>
          </cell>
          <cell r="O41">
            <v>7800</v>
          </cell>
        </row>
        <row r="42">
          <cell r="B42" t="str">
            <v>Transformer Stationpole mounted15/0.4 kV50</v>
          </cell>
          <cell r="C42" t="str">
            <v>Transformer Station</v>
          </cell>
          <cell r="D42" t="str">
            <v>pole mounted</v>
          </cell>
          <cell r="E42" t="str">
            <v>15/0.4 kV</v>
          </cell>
          <cell r="H42">
            <v>50</v>
          </cell>
          <cell r="I42">
            <v>8000</v>
          </cell>
          <cell r="J42">
            <v>25</v>
          </cell>
          <cell r="K42">
            <v>0.95</v>
          </cell>
          <cell r="L42">
            <v>5</v>
          </cell>
          <cell r="M42">
            <v>0.04</v>
          </cell>
          <cell r="N42">
            <v>5</v>
          </cell>
          <cell r="O42">
            <v>8000</v>
          </cell>
        </row>
        <row r="43">
          <cell r="B43" t="str">
            <v>Transformer Stationpole mounted15/0.4 kV75</v>
          </cell>
          <cell r="C43" t="str">
            <v>Transformer Station</v>
          </cell>
          <cell r="D43" t="str">
            <v>pole mounted</v>
          </cell>
          <cell r="E43" t="str">
            <v>15/0.4 kV</v>
          </cell>
          <cell r="H43">
            <v>75</v>
          </cell>
          <cell r="I43">
            <v>8500</v>
          </cell>
          <cell r="J43">
            <v>25</v>
          </cell>
          <cell r="K43">
            <v>0.95</v>
          </cell>
          <cell r="L43">
            <v>5</v>
          </cell>
          <cell r="M43">
            <v>0.04</v>
          </cell>
          <cell r="N43">
            <v>5</v>
          </cell>
          <cell r="O43">
            <v>8500</v>
          </cell>
        </row>
        <row r="44">
          <cell r="B44" t="str">
            <v>Transformer Stationpole mounted15/0.4 kV250</v>
          </cell>
          <cell r="C44" t="str">
            <v>Transformer Station</v>
          </cell>
          <cell r="D44" t="str">
            <v>pole mounted</v>
          </cell>
          <cell r="E44" t="str">
            <v>15/0.4 kV</v>
          </cell>
          <cell r="H44">
            <v>250</v>
          </cell>
          <cell r="I44">
            <v>13000</v>
          </cell>
          <cell r="J44">
            <v>25</v>
          </cell>
          <cell r="K44">
            <v>0.95</v>
          </cell>
          <cell r="L44">
            <v>5</v>
          </cell>
          <cell r="M44">
            <v>0.04</v>
          </cell>
          <cell r="N44">
            <v>5</v>
          </cell>
          <cell r="O44">
            <v>13000</v>
          </cell>
        </row>
        <row r="45">
          <cell r="B45" t="str">
            <v>Transformer Stationpole mounted20/0.4 kV10</v>
          </cell>
          <cell r="C45" t="str">
            <v>Transformer Station</v>
          </cell>
          <cell r="D45" t="str">
            <v>pole mounted</v>
          </cell>
          <cell r="E45" t="str">
            <v>20/0.4 kV</v>
          </cell>
          <cell r="H45">
            <v>10</v>
          </cell>
          <cell r="I45">
            <v>7500</v>
          </cell>
          <cell r="J45">
            <v>25</v>
          </cell>
          <cell r="K45">
            <v>0.95</v>
          </cell>
          <cell r="L45">
            <v>5</v>
          </cell>
          <cell r="M45">
            <v>0.04</v>
          </cell>
          <cell r="N45">
            <v>5</v>
          </cell>
          <cell r="O45">
            <v>7500</v>
          </cell>
        </row>
        <row r="46">
          <cell r="B46" t="str">
            <v>Transformer Stationpole mounted20/0.4 kV16</v>
          </cell>
          <cell r="C46" t="str">
            <v>Transformer Station</v>
          </cell>
          <cell r="D46" t="str">
            <v>pole mounted</v>
          </cell>
          <cell r="E46" t="str">
            <v>20/0.4 kV</v>
          </cell>
          <cell r="H46">
            <v>16</v>
          </cell>
          <cell r="I46">
            <v>7550</v>
          </cell>
          <cell r="J46">
            <v>25</v>
          </cell>
          <cell r="K46">
            <v>0.95</v>
          </cell>
          <cell r="L46">
            <v>5</v>
          </cell>
          <cell r="M46">
            <v>0.04</v>
          </cell>
          <cell r="N46">
            <v>5</v>
          </cell>
          <cell r="O46">
            <v>7550</v>
          </cell>
        </row>
        <row r="47">
          <cell r="B47" t="str">
            <v>Transformer Stationpole mounted20/0.4 kV25</v>
          </cell>
          <cell r="C47" t="str">
            <v>Transformer Station</v>
          </cell>
          <cell r="D47" t="str">
            <v>pole mounted</v>
          </cell>
          <cell r="E47" t="str">
            <v>20/0.4 kV</v>
          </cell>
          <cell r="H47">
            <v>25</v>
          </cell>
          <cell r="I47">
            <v>7600</v>
          </cell>
          <cell r="J47">
            <v>25</v>
          </cell>
          <cell r="K47">
            <v>0.95</v>
          </cell>
          <cell r="L47">
            <v>5</v>
          </cell>
          <cell r="M47">
            <v>0.04</v>
          </cell>
          <cell r="N47">
            <v>5</v>
          </cell>
          <cell r="O47">
            <v>7600</v>
          </cell>
        </row>
        <row r="48">
          <cell r="B48" t="str">
            <v>Transformer Stationpole mounted20/0.4 kV30</v>
          </cell>
          <cell r="C48" t="str">
            <v>Transformer Station</v>
          </cell>
          <cell r="D48" t="str">
            <v>pole mounted</v>
          </cell>
          <cell r="E48" t="str">
            <v>20/0.4 kV</v>
          </cell>
          <cell r="H48">
            <v>30</v>
          </cell>
          <cell r="I48">
            <v>7800</v>
          </cell>
          <cell r="J48">
            <v>25</v>
          </cell>
          <cell r="K48">
            <v>0.95</v>
          </cell>
          <cell r="L48">
            <v>5</v>
          </cell>
          <cell r="M48">
            <v>0.04</v>
          </cell>
          <cell r="N48">
            <v>5</v>
          </cell>
          <cell r="O48">
            <v>7800</v>
          </cell>
        </row>
        <row r="49">
          <cell r="B49" t="str">
            <v>Transformer Stationpole mounted20/0.4 kV40</v>
          </cell>
          <cell r="C49" t="str">
            <v>Transformer Station</v>
          </cell>
          <cell r="D49" t="str">
            <v>pole mounted</v>
          </cell>
          <cell r="E49" t="str">
            <v>20/0.4 kV</v>
          </cell>
          <cell r="H49">
            <v>40</v>
          </cell>
          <cell r="I49">
            <v>7900</v>
          </cell>
          <cell r="J49">
            <v>25</v>
          </cell>
          <cell r="K49">
            <v>0.95</v>
          </cell>
          <cell r="L49">
            <v>5</v>
          </cell>
          <cell r="M49">
            <v>0.04</v>
          </cell>
          <cell r="N49">
            <v>5</v>
          </cell>
          <cell r="O49">
            <v>7900</v>
          </cell>
        </row>
        <row r="50">
          <cell r="B50" t="str">
            <v>Transformer Stationpole mounted20/0.4 kV43</v>
          </cell>
          <cell r="C50" t="str">
            <v>Transformer Station</v>
          </cell>
          <cell r="D50" t="str">
            <v>pole mounted</v>
          </cell>
          <cell r="E50" t="str">
            <v>20/0.4 kV</v>
          </cell>
          <cell r="H50">
            <v>43</v>
          </cell>
          <cell r="I50">
            <v>7900</v>
          </cell>
          <cell r="J50">
            <v>25</v>
          </cell>
          <cell r="K50">
            <v>0.95</v>
          </cell>
          <cell r="L50">
            <v>5</v>
          </cell>
          <cell r="M50">
            <v>0.04</v>
          </cell>
          <cell r="N50">
            <v>5</v>
          </cell>
          <cell r="O50">
            <v>7900</v>
          </cell>
        </row>
        <row r="51">
          <cell r="B51" t="str">
            <v>Transformer Stationpole mounted20/0.4 kV50</v>
          </cell>
          <cell r="C51" t="str">
            <v>Transformer Station</v>
          </cell>
          <cell r="D51" t="str">
            <v>pole mounted</v>
          </cell>
          <cell r="E51" t="str">
            <v>20/0.4 kV</v>
          </cell>
          <cell r="H51">
            <v>50</v>
          </cell>
          <cell r="I51">
            <v>8000</v>
          </cell>
          <cell r="J51">
            <v>25</v>
          </cell>
          <cell r="K51">
            <v>0.95</v>
          </cell>
          <cell r="L51">
            <v>5</v>
          </cell>
          <cell r="M51">
            <v>0.04</v>
          </cell>
          <cell r="N51">
            <v>5</v>
          </cell>
          <cell r="O51">
            <v>8000</v>
          </cell>
        </row>
        <row r="52">
          <cell r="B52" t="str">
            <v>Transformer Stationpole mounted20/0.4 kV63</v>
          </cell>
          <cell r="C52" t="str">
            <v>Transformer Station</v>
          </cell>
          <cell r="D52" t="str">
            <v>pole mounted</v>
          </cell>
          <cell r="E52" t="str">
            <v>20/0.4 kV</v>
          </cell>
          <cell r="H52">
            <v>63</v>
          </cell>
          <cell r="I52">
            <v>8200</v>
          </cell>
          <cell r="J52">
            <v>25</v>
          </cell>
          <cell r="K52">
            <v>0.95</v>
          </cell>
          <cell r="L52">
            <v>5</v>
          </cell>
          <cell r="M52">
            <v>0.04</v>
          </cell>
          <cell r="N52">
            <v>5</v>
          </cell>
          <cell r="O52">
            <v>8200</v>
          </cell>
        </row>
        <row r="53">
          <cell r="B53" t="str">
            <v>Transformer Stationpole mounted20/0.4 kV75</v>
          </cell>
          <cell r="C53" t="str">
            <v>Transformer Station</v>
          </cell>
          <cell r="D53" t="str">
            <v>pole mounted</v>
          </cell>
          <cell r="E53" t="str">
            <v>20/0.4 kV</v>
          </cell>
          <cell r="H53">
            <v>75</v>
          </cell>
          <cell r="I53">
            <v>8500</v>
          </cell>
          <cell r="J53">
            <v>25</v>
          </cell>
          <cell r="K53">
            <v>0.95</v>
          </cell>
          <cell r="L53">
            <v>5</v>
          </cell>
          <cell r="M53">
            <v>0.04</v>
          </cell>
          <cell r="N53">
            <v>5</v>
          </cell>
          <cell r="O53">
            <v>8500</v>
          </cell>
        </row>
        <row r="54">
          <cell r="B54" t="str">
            <v>Transformer Stationpole mounted20/0.4 kV80</v>
          </cell>
          <cell r="C54" t="str">
            <v>Transformer Station</v>
          </cell>
          <cell r="D54" t="str">
            <v>pole mounted</v>
          </cell>
          <cell r="E54" t="str">
            <v>20/0.4 kV</v>
          </cell>
          <cell r="H54">
            <v>80</v>
          </cell>
          <cell r="I54">
            <v>8700</v>
          </cell>
          <cell r="J54">
            <v>25</v>
          </cell>
          <cell r="K54">
            <v>0.95</v>
          </cell>
          <cell r="L54">
            <v>5</v>
          </cell>
          <cell r="M54">
            <v>0.04</v>
          </cell>
          <cell r="N54">
            <v>5</v>
          </cell>
          <cell r="O54">
            <v>8700</v>
          </cell>
        </row>
        <row r="55">
          <cell r="B55" t="str">
            <v>Transformer Stationpole mounted20/0.4 kV100</v>
          </cell>
          <cell r="C55" t="str">
            <v>Transformer Station</v>
          </cell>
          <cell r="D55" t="str">
            <v>pole mounted</v>
          </cell>
          <cell r="E55" t="str">
            <v>20/0.4 kV</v>
          </cell>
          <cell r="H55">
            <v>100</v>
          </cell>
          <cell r="I55">
            <v>9000</v>
          </cell>
          <cell r="J55">
            <v>25</v>
          </cell>
          <cell r="K55">
            <v>0.95</v>
          </cell>
          <cell r="L55">
            <v>5</v>
          </cell>
          <cell r="M55">
            <v>0.04</v>
          </cell>
          <cell r="N55">
            <v>5</v>
          </cell>
          <cell r="O55">
            <v>9000</v>
          </cell>
        </row>
        <row r="56">
          <cell r="B56" t="str">
            <v>Transformer Stationpole mounted20/0.4 kV110</v>
          </cell>
          <cell r="C56" t="str">
            <v>Transformer Station</v>
          </cell>
          <cell r="D56" t="str">
            <v>pole mounted</v>
          </cell>
          <cell r="E56" t="str">
            <v>20/0.4 kV</v>
          </cell>
          <cell r="H56">
            <v>110</v>
          </cell>
          <cell r="I56">
            <v>10000</v>
          </cell>
          <cell r="J56">
            <v>25</v>
          </cell>
          <cell r="K56">
            <v>0.95</v>
          </cell>
          <cell r="L56">
            <v>5</v>
          </cell>
          <cell r="M56">
            <v>0.04</v>
          </cell>
          <cell r="N56">
            <v>5</v>
          </cell>
          <cell r="O56">
            <v>10000</v>
          </cell>
        </row>
        <row r="57">
          <cell r="B57" t="str">
            <v>Transformer Stationpole mounted20/0.4 kV120</v>
          </cell>
          <cell r="C57" t="str">
            <v>Transformer Station</v>
          </cell>
          <cell r="D57" t="str">
            <v>pole mounted</v>
          </cell>
          <cell r="E57" t="str">
            <v>20/0.4 kV</v>
          </cell>
          <cell r="H57">
            <v>120</v>
          </cell>
          <cell r="I57">
            <v>10500</v>
          </cell>
          <cell r="J57">
            <v>25</v>
          </cell>
          <cell r="K57">
            <v>0.95</v>
          </cell>
          <cell r="L57">
            <v>5</v>
          </cell>
          <cell r="M57">
            <v>0.04</v>
          </cell>
          <cell r="N57">
            <v>5</v>
          </cell>
          <cell r="O57">
            <v>10500</v>
          </cell>
        </row>
        <row r="58">
          <cell r="B58" t="str">
            <v>Transformer Stationpole mounted20/0.4 kV160</v>
          </cell>
          <cell r="C58" t="str">
            <v>Transformer Station</v>
          </cell>
          <cell r="D58" t="str">
            <v>pole mounted</v>
          </cell>
          <cell r="E58" t="str">
            <v>20/0.4 kV</v>
          </cell>
          <cell r="H58">
            <v>160</v>
          </cell>
          <cell r="I58">
            <v>11500</v>
          </cell>
          <cell r="J58">
            <v>25</v>
          </cell>
          <cell r="K58">
            <v>0.95</v>
          </cell>
          <cell r="L58">
            <v>5</v>
          </cell>
          <cell r="M58">
            <v>0.04</v>
          </cell>
          <cell r="N58">
            <v>5</v>
          </cell>
          <cell r="O58">
            <v>11500</v>
          </cell>
        </row>
        <row r="59">
          <cell r="B59" t="str">
            <v>Transformer Stationpole mounted20/0.4 kV180</v>
          </cell>
          <cell r="C59" t="str">
            <v>Transformer Station</v>
          </cell>
          <cell r="D59" t="str">
            <v>pole mounted</v>
          </cell>
          <cell r="E59" t="str">
            <v>20/0.4 kV</v>
          </cell>
          <cell r="H59">
            <v>180</v>
          </cell>
          <cell r="I59">
            <v>12000</v>
          </cell>
          <cell r="J59">
            <v>25</v>
          </cell>
          <cell r="K59">
            <v>0.95</v>
          </cell>
          <cell r="L59">
            <v>5</v>
          </cell>
          <cell r="M59">
            <v>0.04</v>
          </cell>
          <cell r="N59">
            <v>5</v>
          </cell>
          <cell r="O59">
            <v>12000</v>
          </cell>
        </row>
        <row r="60">
          <cell r="B60" t="str">
            <v>Transformer Stationpole mounted20/0.4 kV200</v>
          </cell>
          <cell r="C60" t="str">
            <v>Transformer Station</v>
          </cell>
          <cell r="D60" t="str">
            <v>pole mounted</v>
          </cell>
          <cell r="E60" t="str">
            <v>20/0.4 kV</v>
          </cell>
          <cell r="H60">
            <v>200</v>
          </cell>
          <cell r="I60">
            <v>12400</v>
          </cell>
          <cell r="J60">
            <v>25</v>
          </cell>
          <cell r="K60">
            <v>0.95</v>
          </cell>
          <cell r="L60">
            <v>5</v>
          </cell>
          <cell r="M60">
            <v>0.04</v>
          </cell>
          <cell r="N60">
            <v>5</v>
          </cell>
          <cell r="O60">
            <v>12400</v>
          </cell>
        </row>
        <row r="61">
          <cell r="B61" t="str">
            <v>Transformer Stationpole mounted20/0.4 kV240</v>
          </cell>
          <cell r="C61" t="str">
            <v>Transformer Station</v>
          </cell>
          <cell r="D61" t="str">
            <v>pole mounted</v>
          </cell>
          <cell r="E61" t="str">
            <v>20/0.4 kV</v>
          </cell>
          <cell r="H61">
            <v>240</v>
          </cell>
          <cell r="I61">
            <v>12800</v>
          </cell>
          <cell r="J61">
            <v>25</v>
          </cell>
          <cell r="K61">
            <v>0.95</v>
          </cell>
          <cell r="L61">
            <v>5</v>
          </cell>
          <cell r="M61">
            <v>0.04</v>
          </cell>
          <cell r="N61">
            <v>5</v>
          </cell>
          <cell r="O61">
            <v>12800</v>
          </cell>
        </row>
        <row r="62">
          <cell r="B62" t="str">
            <v>Transformer Stationpole mounted20/0.4 kV250</v>
          </cell>
          <cell r="C62" t="str">
            <v>Transformer Station</v>
          </cell>
          <cell r="D62" t="str">
            <v>pole mounted</v>
          </cell>
          <cell r="E62" t="str">
            <v>20/0.4 kV</v>
          </cell>
          <cell r="H62">
            <v>250</v>
          </cell>
          <cell r="I62">
            <v>13000</v>
          </cell>
          <cell r="J62">
            <v>25</v>
          </cell>
          <cell r="K62">
            <v>0.95</v>
          </cell>
          <cell r="L62">
            <v>5</v>
          </cell>
          <cell r="M62">
            <v>0.04</v>
          </cell>
          <cell r="N62">
            <v>5</v>
          </cell>
          <cell r="O62">
            <v>13000</v>
          </cell>
        </row>
        <row r="63">
          <cell r="B63" t="str">
            <v>Transformer Stationpole mounted20/0.4 kV315</v>
          </cell>
          <cell r="C63" t="str">
            <v>Transformer Station</v>
          </cell>
          <cell r="D63" t="str">
            <v>pole mounted</v>
          </cell>
          <cell r="E63" t="str">
            <v>20/0.4 kV</v>
          </cell>
          <cell r="H63">
            <v>315</v>
          </cell>
          <cell r="I63">
            <v>14000</v>
          </cell>
          <cell r="J63">
            <v>25</v>
          </cell>
          <cell r="K63">
            <v>0.95</v>
          </cell>
          <cell r="L63">
            <v>5</v>
          </cell>
          <cell r="M63">
            <v>0.04</v>
          </cell>
          <cell r="N63">
            <v>5</v>
          </cell>
          <cell r="O63">
            <v>14000</v>
          </cell>
        </row>
        <row r="64">
          <cell r="B64" t="str">
            <v>Transformer Stationpole mounted20/0.4 kV400</v>
          </cell>
          <cell r="C64" t="str">
            <v>Transformer Station</v>
          </cell>
          <cell r="D64" t="str">
            <v>pole mounted</v>
          </cell>
          <cell r="E64" t="str">
            <v>20/0.4 kV</v>
          </cell>
          <cell r="H64">
            <v>400</v>
          </cell>
          <cell r="I64">
            <v>16000</v>
          </cell>
          <cell r="J64">
            <v>25</v>
          </cell>
          <cell r="K64">
            <v>0.95</v>
          </cell>
          <cell r="L64">
            <v>5</v>
          </cell>
          <cell r="M64">
            <v>0.04</v>
          </cell>
          <cell r="N64">
            <v>5</v>
          </cell>
          <cell r="O64">
            <v>16000</v>
          </cell>
        </row>
        <row r="65">
          <cell r="B65" t="str">
            <v>Transformer Stationpole mounted20/0.4 kV630</v>
          </cell>
          <cell r="C65" t="str">
            <v>Transformer Station</v>
          </cell>
          <cell r="D65" t="str">
            <v>pole mounted</v>
          </cell>
          <cell r="E65" t="str">
            <v>20/0.4 kV</v>
          </cell>
          <cell r="H65">
            <v>630</v>
          </cell>
          <cell r="I65">
            <v>20000</v>
          </cell>
          <cell r="J65">
            <v>25</v>
          </cell>
          <cell r="K65">
            <v>0.95</v>
          </cell>
          <cell r="L65">
            <v>5</v>
          </cell>
          <cell r="M65">
            <v>0.04</v>
          </cell>
          <cell r="N65">
            <v>5</v>
          </cell>
          <cell r="O65">
            <v>20000</v>
          </cell>
        </row>
        <row r="66">
          <cell r="B66" t="str">
            <v>Transformer Stationpole mounted20/0.4 kV1000</v>
          </cell>
          <cell r="C66" t="str">
            <v>Transformer Station</v>
          </cell>
          <cell r="D66" t="str">
            <v>pole mounted</v>
          </cell>
          <cell r="E66" t="str">
            <v>20/0.4 kV</v>
          </cell>
          <cell r="H66">
            <v>1000</v>
          </cell>
          <cell r="I66">
            <v>25000</v>
          </cell>
          <cell r="J66">
            <v>25</v>
          </cell>
          <cell r="K66">
            <v>0.95</v>
          </cell>
          <cell r="L66">
            <v>5</v>
          </cell>
          <cell r="M66">
            <v>0.04</v>
          </cell>
          <cell r="N66">
            <v>5</v>
          </cell>
          <cell r="O66">
            <v>25000</v>
          </cell>
        </row>
        <row r="67">
          <cell r="B67" t="str">
            <v>Transformer Stationpole mounted20/0.4 kV1600</v>
          </cell>
          <cell r="C67" t="str">
            <v>Transformer Station</v>
          </cell>
          <cell r="D67" t="str">
            <v>pole mounted</v>
          </cell>
          <cell r="E67" t="str">
            <v>20/0.4 kV</v>
          </cell>
          <cell r="H67">
            <v>1600</v>
          </cell>
          <cell r="I67">
            <v>30000</v>
          </cell>
          <cell r="J67">
            <v>25</v>
          </cell>
          <cell r="K67">
            <v>0.95</v>
          </cell>
          <cell r="L67">
            <v>5</v>
          </cell>
          <cell r="M67">
            <v>0.04</v>
          </cell>
          <cell r="N67">
            <v>5</v>
          </cell>
          <cell r="O67">
            <v>30000</v>
          </cell>
        </row>
        <row r="68">
          <cell r="B68" t="str">
            <v>Transformer Stationpole mounted20/0.4 kV1960</v>
          </cell>
          <cell r="C68" t="str">
            <v>Transformer Station</v>
          </cell>
          <cell r="D68" t="str">
            <v>pole mounted</v>
          </cell>
          <cell r="E68" t="str">
            <v>20/0.4 kV</v>
          </cell>
          <cell r="H68">
            <v>1960</v>
          </cell>
          <cell r="I68">
            <v>35000</v>
          </cell>
          <cell r="J68">
            <v>25</v>
          </cell>
          <cell r="K68">
            <v>0.95</v>
          </cell>
          <cell r="L68">
            <v>5</v>
          </cell>
          <cell r="M68">
            <v>0.04</v>
          </cell>
          <cell r="N68">
            <v>5</v>
          </cell>
          <cell r="O68">
            <v>35000</v>
          </cell>
        </row>
        <row r="69">
          <cell r="B69" t="str">
            <v>Transformer Stationpole mounted20/1 kV16</v>
          </cell>
          <cell r="C69" t="str">
            <v>Transformer Station</v>
          </cell>
          <cell r="D69" t="str">
            <v>pole mounted</v>
          </cell>
          <cell r="E69" t="str">
            <v>20/1 kV</v>
          </cell>
          <cell r="H69">
            <v>16</v>
          </cell>
          <cell r="I69">
            <v>7500</v>
          </cell>
          <cell r="J69">
            <v>25</v>
          </cell>
          <cell r="K69">
            <v>0.95</v>
          </cell>
          <cell r="L69">
            <v>5</v>
          </cell>
          <cell r="M69">
            <v>0.04</v>
          </cell>
          <cell r="N69">
            <v>5</v>
          </cell>
          <cell r="O69">
            <v>7500</v>
          </cell>
        </row>
        <row r="70">
          <cell r="B70" t="str">
            <v>Transformer Stationpole mounted20/1 kV25</v>
          </cell>
          <cell r="C70" t="str">
            <v>Transformer Station</v>
          </cell>
          <cell r="D70" t="str">
            <v>pole mounted</v>
          </cell>
          <cell r="E70" t="str">
            <v>20/1 kV</v>
          </cell>
          <cell r="H70">
            <v>25</v>
          </cell>
          <cell r="I70">
            <v>7600</v>
          </cell>
          <cell r="J70">
            <v>25</v>
          </cell>
          <cell r="K70">
            <v>0.95</v>
          </cell>
          <cell r="L70">
            <v>5</v>
          </cell>
          <cell r="M70">
            <v>0.04</v>
          </cell>
          <cell r="N70">
            <v>5</v>
          </cell>
          <cell r="O70">
            <v>7600</v>
          </cell>
        </row>
        <row r="71">
          <cell r="B71" t="str">
            <v>Transformer Stationpole mounted20/1 kV40</v>
          </cell>
          <cell r="C71" t="str">
            <v>Transformer Station</v>
          </cell>
          <cell r="D71" t="str">
            <v>pole mounted</v>
          </cell>
          <cell r="E71" t="str">
            <v>20/1 kV</v>
          </cell>
          <cell r="H71">
            <v>40</v>
          </cell>
          <cell r="I71">
            <v>7900</v>
          </cell>
          <cell r="J71">
            <v>25</v>
          </cell>
          <cell r="K71">
            <v>0.95</v>
          </cell>
          <cell r="L71">
            <v>5</v>
          </cell>
          <cell r="M71">
            <v>0.04</v>
          </cell>
          <cell r="N71">
            <v>5</v>
          </cell>
          <cell r="O71">
            <v>7900</v>
          </cell>
        </row>
        <row r="72">
          <cell r="B72" t="str">
            <v>Transformer Stationpole mounted20/6 kV40</v>
          </cell>
          <cell r="C72" t="str">
            <v>Transformer Station</v>
          </cell>
          <cell r="D72" t="str">
            <v>pole mounted</v>
          </cell>
          <cell r="E72" t="str">
            <v>20/6 kV</v>
          </cell>
          <cell r="H72">
            <v>40</v>
          </cell>
          <cell r="I72">
            <v>10000</v>
          </cell>
          <cell r="J72">
            <v>25</v>
          </cell>
          <cell r="K72">
            <v>0.95</v>
          </cell>
          <cell r="L72">
            <v>5</v>
          </cell>
          <cell r="M72">
            <v>0.04</v>
          </cell>
          <cell r="N72">
            <v>5</v>
          </cell>
          <cell r="O72">
            <v>10000</v>
          </cell>
        </row>
        <row r="73">
          <cell r="B73" t="str">
            <v>Transformer Stationpole mounted20/6 kV400</v>
          </cell>
          <cell r="C73" t="str">
            <v>Transformer Station</v>
          </cell>
          <cell r="D73" t="str">
            <v>pole mounted</v>
          </cell>
          <cell r="E73" t="str">
            <v>20/6 kV</v>
          </cell>
          <cell r="H73">
            <v>400</v>
          </cell>
          <cell r="I73">
            <v>18000</v>
          </cell>
          <cell r="J73">
            <v>25</v>
          </cell>
          <cell r="K73">
            <v>0.95</v>
          </cell>
          <cell r="L73">
            <v>5</v>
          </cell>
          <cell r="M73">
            <v>0.04</v>
          </cell>
          <cell r="N73">
            <v>5</v>
          </cell>
          <cell r="O73">
            <v>18000</v>
          </cell>
        </row>
        <row r="74">
          <cell r="B74" t="str">
            <v>Transformer Stationpole mounted20/6 kV1600</v>
          </cell>
          <cell r="C74" t="str">
            <v>Transformer Station</v>
          </cell>
          <cell r="D74" t="str">
            <v>pole mounted</v>
          </cell>
          <cell r="E74" t="str">
            <v>20/6 kV</v>
          </cell>
          <cell r="H74">
            <v>1600</v>
          </cell>
          <cell r="I74">
            <v>32000</v>
          </cell>
          <cell r="J74">
            <v>25</v>
          </cell>
          <cell r="K74">
            <v>0.95</v>
          </cell>
          <cell r="L74">
            <v>5</v>
          </cell>
          <cell r="M74">
            <v>0.04</v>
          </cell>
          <cell r="N74">
            <v>5</v>
          </cell>
          <cell r="O74">
            <v>32000</v>
          </cell>
        </row>
        <row r="75">
          <cell r="B75" t="str">
            <v>Transformer Stationpole mounted6/0.23 kV10</v>
          </cell>
          <cell r="C75" t="str">
            <v>Transformer Station</v>
          </cell>
          <cell r="D75" t="str">
            <v>pole mounted</v>
          </cell>
          <cell r="E75" t="str">
            <v>6/0.23 kV</v>
          </cell>
          <cell r="H75">
            <v>10</v>
          </cell>
          <cell r="I75">
            <v>7500</v>
          </cell>
          <cell r="J75">
            <v>25</v>
          </cell>
          <cell r="K75">
            <v>0.95</v>
          </cell>
          <cell r="L75">
            <v>5</v>
          </cell>
          <cell r="M75">
            <v>0.04</v>
          </cell>
          <cell r="N75">
            <v>5</v>
          </cell>
          <cell r="O75">
            <v>7500</v>
          </cell>
        </row>
        <row r="76">
          <cell r="B76" t="str">
            <v>Transformer Stationpole mounted6/0.23 kV250</v>
          </cell>
          <cell r="C76" t="str">
            <v>Transformer Station</v>
          </cell>
          <cell r="D76" t="str">
            <v>pole mounted</v>
          </cell>
          <cell r="E76" t="str">
            <v>6/0.23 kV</v>
          </cell>
          <cell r="H76">
            <v>250</v>
          </cell>
          <cell r="I76">
            <v>13000</v>
          </cell>
          <cell r="J76">
            <v>25</v>
          </cell>
          <cell r="K76">
            <v>0.95</v>
          </cell>
          <cell r="L76">
            <v>5</v>
          </cell>
          <cell r="M76">
            <v>0.04</v>
          </cell>
          <cell r="N76">
            <v>5</v>
          </cell>
          <cell r="O76">
            <v>13000</v>
          </cell>
        </row>
        <row r="77">
          <cell r="B77" t="str">
            <v>Transformer Stationpole mounted6/0.4 kV50</v>
          </cell>
          <cell r="C77" t="str">
            <v>Transformer Station</v>
          </cell>
          <cell r="D77" t="str">
            <v>pole mounted</v>
          </cell>
          <cell r="E77" t="str">
            <v>6/0.4 kV</v>
          </cell>
          <cell r="H77">
            <v>50</v>
          </cell>
          <cell r="I77">
            <v>8000</v>
          </cell>
          <cell r="J77">
            <v>25</v>
          </cell>
          <cell r="K77">
            <v>0.95</v>
          </cell>
          <cell r="L77">
            <v>5</v>
          </cell>
          <cell r="M77">
            <v>0.04</v>
          </cell>
          <cell r="N77">
            <v>5</v>
          </cell>
          <cell r="O77">
            <v>8000</v>
          </cell>
        </row>
        <row r="78">
          <cell r="B78" t="str">
            <v>Transformer Stationpole mounted6/0.4 kV100</v>
          </cell>
          <cell r="C78" t="str">
            <v>Transformer Station</v>
          </cell>
          <cell r="D78" t="str">
            <v>pole mounted</v>
          </cell>
          <cell r="E78" t="str">
            <v>6/0.4 kV</v>
          </cell>
          <cell r="H78">
            <v>100</v>
          </cell>
          <cell r="I78">
            <v>9000</v>
          </cell>
          <cell r="J78">
            <v>25</v>
          </cell>
          <cell r="K78">
            <v>0.95</v>
          </cell>
          <cell r="L78">
            <v>5</v>
          </cell>
          <cell r="M78">
            <v>0.04</v>
          </cell>
          <cell r="N78">
            <v>5</v>
          </cell>
          <cell r="O78">
            <v>9000</v>
          </cell>
        </row>
        <row r="79">
          <cell r="B79" t="str">
            <v>Transformer Stationpole mounted6/0.4 kV140</v>
          </cell>
          <cell r="C79" t="str">
            <v>Transformer Station</v>
          </cell>
          <cell r="D79" t="str">
            <v>pole mounted</v>
          </cell>
          <cell r="E79" t="str">
            <v>6/0.4 kV</v>
          </cell>
          <cell r="H79">
            <v>140</v>
          </cell>
          <cell r="I79">
            <v>11000</v>
          </cell>
          <cell r="J79">
            <v>25</v>
          </cell>
          <cell r="K79">
            <v>0.95</v>
          </cell>
          <cell r="L79">
            <v>5</v>
          </cell>
          <cell r="M79">
            <v>0.04</v>
          </cell>
          <cell r="N79">
            <v>5</v>
          </cell>
          <cell r="O79">
            <v>11000</v>
          </cell>
        </row>
        <row r="80">
          <cell r="B80" t="str">
            <v>Transformer Stationpole mounted6/0.4 kV160</v>
          </cell>
          <cell r="C80" t="str">
            <v>Transformer Station</v>
          </cell>
          <cell r="D80" t="str">
            <v>pole mounted</v>
          </cell>
          <cell r="E80" t="str">
            <v>6/0.4 kV</v>
          </cell>
          <cell r="H80">
            <v>160</v>
          </cell>
          <cell r="I80">
            <v>11500</v>
          </cell>
          <cell r="J80">
            <v>25</v>
          </cell>
          <cell r="K80">
            <v>0.95</v>
          </cell>
          <cell r="L80">
            <v>5</v>
          </cell>
          <cell r="M80">
            <v>0.04</v>
          </cell>
          <cell r="N80">
            <v>5</v>
          </cell>
          <cell r="O80">
            <v>11500</v>
          </cell>
        </row>
        <row r="81">
          <cell r="B81" t="str">
            <v>Transformer Stationpole mounted6/0.4 kV200</v>
          </cell>
          <cell r="C81" t="str">
            <v>Transformer Station</v>
          </cell>
          <cell r="D81" t="str">
            <v>pole mounted</v>
          </cell>
          <cell r="E81" t="str">
            <v>6/0.4 kV</v>
          </cell>
          <cell r="H81">
            <v>200</v>
          </cell>
          <cell r="I81">
            <v>12400</v>
          </cell>
          <cell r="J81">
            <v>25</v>
          </cell>
          <cell r="K81">
            <v>0.95</v>
          </cell>
          <cell r="L81">
            <v>5</v>
          </cell>
          <cell r="M81">
            <v>0.04</v>
          </cell>
          <cell r="N81">
            <v>5</v>
          </cell>
          <cell r="O81">
            <v>12400</v>
          </cell>
        </row>
        <row r="82">
          <cell r="B82" t="str">
            <v>Transformer Stationpole mounted6/0.4 kV250</v>
          </cell>
          <cell r="C82" t="str">
            <v>Transformer Station</v>
          </cell>
          <cell r="D82" t="str">
            <v>pole mounted</v>
          </cell>
          <cell r="E82" t="str">
            <v>6/0.4 kV</v>
          </cell>
          <cell r="H82">
            <v>250</v>
          </cell>
          <cell r="I82">
            <v>13000</v>
          </cell>
          <cell r="J82">
            <v>25</v>
          </cell>
          <cell r="K82">
            <v>0.95</v>
          </cell>
          <cell r="L82">
            <v>5</v>
          </cell>
          <cell r="M82">
            <v>0.04</v>
          </cell>
          <cell r="N82">
            <v>5</v>
          </cell>
          <cell r="O82">
            <v>13000</v>
          </cell>
        </row>
        <row r="83">
          <cell r="B83" t="str">
            <v>Transformer Stationpole mounted6/0.4 kV400</v>
          </cell>
          <cell r="C83" t="str">
            <v>Transformer Station</v>
          </cell>
          <cell r="D83" t="str">
            <v>pole mounted</v>
          </cell>
          <cell r="E83" t="str">
            <v>6/0.4 kV</v>
          </cell>
          <cell r="H83">
            <v>400</v>
          </cell>
          <cell r="I83">
            <v>16000</v>
          </cell>
          <cell r="J83">
            <v>25</v>
          </cell>
          <cell r="K83">
            <v>0.95</v>
          </cell>
          <cell r="L83">
            <v>5</v>
          </cell>
          <cell r="M83">
            <v>0.04</v>
          </cell>
          <cell r="N83">
            <v>5</v>
          </cell>
          <cell r="O83">
            <v>16000</v>
          </cell>
        </row>
        <row r="84">
          <cell r="B84" t="str">
            <v>MetersElectronic1 Phase &amp; 1 Tariff</v>
          </cell>
          <cell r="C84" t="str">
            <v>Meters</v>
          </cell>
          <cell r="D84" t="str">
            <v>Electronic</v>
          </cell>
          <cell r="E84" t="str">
            <v>1 Phase &amp; 1 Tariff</v>
          </cell>
          <cell r="I84">
            <v>27.5</v>
          </cell>
          <cell r="J84">
            <v>10</v>
          </cell>
          <cell r="K84">
            <v>0.95</v>
          </cell>
          <cell r="L84">
            <v>2</v>
          </cell>
          <cell r="M84">
            <v>0.04</v>
          </cell>
          <cell r="N84">
            <v>2</v>
          </cell>
          <cell r="O84">
            <v>55</v>
          </cell>
          <cell r="P84">
            <v>0.5</v>
          </cell>
        </row>
        <row r="85">
          <cell r="B85" t="str">
            <v>MetersElectronic1 Phase &amp; 2 Tariffs</v>
          </cell>
          <cell r="C85" t="str">
            <v>Meters</v>
          </cell>
          <cell r="D85" t="str">
            <v>Electronic</v>
          </cell>
          <cell r="E85" t="str">
            <v>1 Phase &amp; 2 Tariffs</v>
          </cell>
          <cell r="I85">
            <v>29</v>
          </cell>
          <cell r="J85">
            <v>10</v>
          </cell>
          <cell r="K85">
            <v>0.95</v>
          </cell>
          <cell r="L85">
            <v>2</v>
          </cell>
          <cell r="M85">
            <v>0.04</v>
          </cell>
          <cell r="N85">
            <v>2</v>
          </cell>
          <cell r="O85">
            <v>58</v>
          </cell>
          <cell r="P85">
            <v>0.5</v>
          </cell>
        </row>
        <row r="86">
          <cell r="B86" t="str">
            <v>MetersElectronic1 Phase &amp; 3 Tariffs</v>
          </cell>
          <cell r="C86" t="str">
            <v>Meters</v>
          </cell>
          <cell r="D86" t="str">
            <v>Electronic</v>
          </cell>
          <cell r="E86" t="str">
            <v>1 Phase &amp; 3 Tariffs</v>
          </cell>
          <cell r="I86">
            <v>30</v>
          </cell>
          <cell r="J86">
            <v>10</v>
          </cell>
          <cell r="K86">
            <v>0.95</v>
          </cell>
          <cell r="L86">
            <v>2</v>
          </cell>
          <cell r="M86">
            <v>0.04</v>
          </cell>
          <cell r="N86">
            <v>2</v>
          </cell>
          <cell r="O86">
            <v>60</v>
          </cell>
          <cell r="P86">
            <v>0.5</v>
          </cell>
        </row>
        <row r="87">
          <cell r="B87" t="str">
            <v>MetersElectronic3 Phases &amp; 1 Tariff</v>
          </cell>
          <cell r="C87" t="str">
            <v>Meters</v>
          </cell>
          <cell r="D87" t="str">
            <v>Electronic</v>
          </cell>
          <cell r="E87" t="str">
            <v>3 Phases &amp; 1 Tariff</v>
          </cell>
          <cell r="I87">
            <v>52.5</v>
          </cell>
          <cell r="J87">
            <v>10</v>
          </cell>
          <cell r="K87">
            <v>0.95</v>
          </cell>
          <cell r="L87">
            <v>2</v>
          </cell>
          <cell r="M87">
            <v>0.04</v>
          </cell>
          <cell r="N87">
            <v>2</v>
          </cell>
          <cell r="O87">
            <v>105</v>
          </cell>
          <cell r="P87">
            <v>0.5</v>
          </cell>
        </row>
        <row r="88">
          <cell r="B88" t="str">
            <v>MetersElectronic3 Phases &amp; 2 Tariffs</v>
          </cell>
          <cell r="C88" t="str">
            <v>Meters</v>
          </cell>
          <cell r="D88" t="str">
            <v>Electronic</v>
          </cell>
          <cell r="E88" t="str">
            <v>3 Phases &amp; 2 Tariffs</v>
          </cell>
          <cell r="I88">
            <v>55</v>
          </cell>
          <cell r="J88">
            <v>10</v>
          </cell>
          <cell r="K88">
            <v>0.95</v>
          </cell>
          <cell r="L88">
            <v>2</v>
          </cell>
          <cell r="M88">
            <v>0.04</v>
          </cell>
          <cell r="N88">
            <v>2</v>
          </cell>
          <cell r="O88">
            <v>110</v>
          </cell>
          <cell r="P88">
            <v>0.5</v>
          </cell>
        </row>
        <row r="89">
          <cell r="B89" t="str">
            <v>MetersElectronic3 Phases &amp; 3 Tariffs</v>
          </cell>
          <cell r="C89" t="str">
            <v>Meters</v>
          </cell>
          <cell r="D89" t="str">
            <v>Electronic</v>
          </cell>
          <cell r="E89" t="str">
            <v>3 Phases &amp; 3 Tariffs</v>
          </cell>
          <cell r="I89">
            <v>57</v>
          </cell>
          <cell r="J89">
            <v>10</v>
          </cell>
          <cell r="K89">
            <v>0.95</v>
          </cell>
          <cell r="L89">
            <v>2</v>
          </cell>
          <cell r="M89">
            <v>0.04</v>
          </cell>
          <cell r="N89">
            <v>2</v>
          </cell>
          <cell r="O89">
            <v>114</v>
          </cell>
          <cell r="P89">
            <v>0.5</v>
          </cell>
        </row>
        <row r="90">
          <cell r="B90" t="str">
            <v>MetersInductive1 Phase &amp; 1 Tariff</v>
          </cell>
          <cell r="C90" t="str">
            <v>Meters</v>
          </cell>
          <cell r="D90" t="str">
            <v>Inductive</v>
          </cell>
          <cell r="E90" t="str">
            <v>1 Phase &amp; 1 Tariff</v>
          </cell>
          <cell r="I90">
            <v>22.5</v>
          </cell>
          <cell r="J90">
            <v>10</v>
          </cell>
          <cell r="K90">
            <v>0.95</v>
          </cell>
          <cell r="L90">
            <v>2</v>
          </cell>
          <cell r="M90">
            <v>0.04</v>
          </cell>
          <cell r="N90">
            <v>2</v>
          </cell>
          <cell r="O90">
            <v>45</v>
          </cell>
          <cell r="P90">
            <v>0.5</v>
          </cell>
        </row>
        <row r="91">
          <cell r="B91" t="str">
            <v>MetersInductive1 Phase &amp; 2 Tariffs</v>
          </cell>
          <cell r="C91" t="str">
            <v>Meters</v>
          </cell>
          <cell r="D91" t="str">
            <v>Inductive</v>
          </cell>
          <cell r="E91" t="str">
            <v>1 Phase &amp; 2 Tariffs</v>
          </cell>
          <cell r="I91">
            <v>31</v>
          </cell>
          <cell r="J91">
            <v>10</v>
          </cell>
          <cell r="K91">
            <v>0.95</v>
          </cell>
          <cell r="L91">
            <v>2</v>
          </cell>
          <cell r="M91">
            <v>0.04</v>
          </cell>
          <cell r="N91">
            <v>2</v>
          </cell>
          <cell r="O91">
            <v>62</v>
          </cell>
          <cell r="P91">
            <v>0.5</v>
          </cell>
        </row>
        <row r="92">
          <cell r="B92" t="str">
            <v>MetersInductive1 Phase &amp; 3 Tariffs</v>
          </cell>
          <cell r="C92" t="str">
            <v>Meters</v>
          </cell>
          <cell r="D92" t="str">
            <v>Inductive</v>
          </cell>
          <cell r="E92" t="str">
            <v>1 Phase &amp; 3 Tariffs</v>
          </cell>
          <cell r="I92">
            <v>35</v>
          </cell>
          <cell r="J92">
            <v>10</v>
          </cell>
          <cell r="K92">
            <v>0.95</v>
          </cell>
          <cell r="L92">
            <v>2</v>
          </cell>
          <cell r="M92">
            <v>0.04</v>
          </cell>
          <cell r="N92">
            <v>2</v>
          </cell>
          <cell r="O92">
            <v>70</v>
          </cell>
          <cell r="P92">
            <v>0.5</v>
          </cell>
        </row>
        <row r="93">
          <cell r="B93" t="str">
            <v>MetersInductive3 Phases &amp; 1 Tariff</v>
          </cell>
          <cell r="C93" t="str">
            <v>Meters</v>
          </cell>
          <cell r="D93" t="str">
            <v>Inductive</v>
          </cell>
          <cell r="E93" t="str">
            <v>3 Phases &amp; 1 Tariff</v>
          </cell>
          <cell r="I93">
            <v>46.5</v>
          </cell>
          <cell r="J93">
            <v>10</v>
          </cell>
          <cell r="K93">
            <v>0.95</v>
          </cell>
          <cell r="L93">
            <v>2</v>
          </cell>
          <cell r="M93">
            <v>0.04</v>
          </cell>
          <cell r="N93">
            <v>2</v>
          </cell>
          <cell r="O93">
            <v>93</v>
          </cell>
          <cell r="P93">
            <v>0.5</v>
          </cell>
        </row>
        <row r="94">
          <cell r="B94" t="str">
            <v>MetersInductive3 Phases &amp; 2 Tariffs</v>
          </cell>
          <cell r="C94" t="str">
            <v>Meters</v>
          </cell>
          <cell r="D94" t="str">
            <v>Inductive</v>
          </cell>
          <cell r="E94" t="str">
            <v>3 Phases &amp; 2 Tariffs</v>
          </cell>
          <cell r="I94">
            <v>53.5</v>
          </cell>
          <cell r="J94">
            <v>10</v>
          </cell>
          <cell r="K94">
            <v>0.95</v>
          </cell>
          <cell r="L94">
            <v>2</v>
          </cell>
          <cell r="M94">
            <v>0.04</v>
          </cell>
          <cell r="N94">
            <v>2</v>
          </cell>
          <cell r="O94">
            <v>107</v>
          </cell>
          <cell r="P94">
            <v>0.5</v>
          </cell>
        </row>
        <row r="95">
          <cell r="B95" t="str">
            <v>MetersInductive3 Phases &amp; 3 Tariffs</v>
          </cell>
          <cell r="C95" t="str">
            <v>Meters</v>
          </cell>
          <cell r="D95" t="str">
            <v>Inductive</v>
          </cell>
          <cell r="E95" t="str">
            <v>3 Phases &amp; 3 Tariffs</v>
          </cell>
          <cell r="I95">
            <v>58</v>
          </cell>
          <cell r="J95">
            <v>10</v>
          </cell>
          <cell r="K95">
            <v>0.95</v>
          </cell>
          <cell r="L95">
            <v>2</v>
          </cell>
          <cell r="M95">
            <v>0.04</v>
          </cell>
          <cell r="N95">
            <v>2</v>
          </cell>
          <cell r="O95">
            <v>116</v>
          </cell>
          <cell r="P95">
            <v>0.5</v>
          </cell>
        </row>
        <row r="96">
          <cell r="B96" t="str">
            <v>MetersSpecial1 Phase &amp; 1 Tariff</v>
          </cell>
          <cell r="C96" t="str">
            <v>Meters</v>
          </cell>
          <cell r="D96" t="str">
            <v>Special</v>
          </cell>
          <cell r="E96" t="str">
            <v>1 Phase &amp; 1 Tariff</v>
          </cell>
          <cell r="I96">
            <v>159</v>
          </cell>
          <cell r="J96">
            <v>10</v>
          </cell>
          <cell r="K96">
            <v>0.95</v>
          </cell>
          <cell r="L96">
            <v>2</v>
          </cell>
          <cell r="M96">
            <v>0.04</v>
          </cell>
          <cell r="N96">
            <v>2</v>
          </cell>
          <cell r="O96">
            <v>318</v>
          </cell>
          <cell r="P96">
            <v>0.5</v>
          </cell>
        </row>
        <row r="97">
          <cell r="B97" t="str">
            <v>MetersSpecial3 Phases &amp; 1 Tariff</v>
          </cell>
          <cell r="C97" t="str">
            <v>Meters</v>
          </cell>
          <cell r="D97" t="str">
            <v>Special</v>
          </cell>
          <cell r="E97" t="str">
            <v>3 Phases &amp; 1 Tariff</v>
          </cell>
          <cell r="I97">
            <v>227.5</v>
          </cell>
          <cell r="J97">
            <v>10</v>
          </cell>
          <cell r="K97">
            <v>0.95</v>
          </cell>
          <cell r="L97">
            <v>2</v>
          </cell>
          <cell r="M97">
            <v>0.04</v>
          </cell>
          <cell r="N97">
            <v>2</v>
          </cell>
          <cell r="O97">
            <v>455</v>
          </cell>
          <cell r="P97">
            <v>0.5</v>
          </cell>
        </row>
        <row r="98">
          <cell r="B98" t="str">
            <v>MetersSpecial3 Phases &amp; 2 Tariffs</v>
          </cell>
          <cell r="C98" t="str">
            <v>Meters</v>
          </cell>
          <cell r="D98" t="str">
            <v>Special</v>
          </cell>
          <cell r="E98" t="str">
            <v>3 Phases &amp; 2 Tariffs</v>
          </cell>
          <cell r="I98">
            <v>232.5</v>
          </cell>
          <cell r="J98">
            <v>10</v>
          </cell>
          <cell r="K98">
            <v>0.95</v>
          </cell>
          <cell r="L98">
            <v>2</v>
          </cell>
          <cell r="M98">
            <v>0.04</v>
          </cell>
          <cell r="N98">
            <v>2</v>
          </cell>
          <cell r="O98">
            <v>465</v>
          </cell>
          <cell r="P98">
            <v>0.5</v>
          </cell>
        </row>
        <row r="99">
          <cell r="B99" t="str">
            <v>MetersSpecial3 Phases &amp; 3 Tariffs</v>
          </cell>
          <cell r="C99" t="str">
            <v>Meters</v>
          </cell>
          <cell r="D99" t="str">
            <v>Special</v>
          </cell>
          <cell r="E99" t="str">
            <v>3 Phases &amp; 3 Tariffs</v>
          </cell>
          <cell r="I99">
            <v>237.5</v>
          </cell>
          <cell r="J99">
            <v>10</v>
          </cell>
          <cell r="K99">
            <v>0.95</v>
          </cell>
          <cell r="L99">
            <v>2</v>
          </cell>
          <cell r="M99">
            <v>0.04</v>
          </cell>
          <cell r="N99">
            <v>2</v>
          </cell>
          <cell r="O99">
            <v>475</v>
          </cell>
          <cell r="P99">
            <v>0.5</v>
          </cell>
        </row>
        <row r="100">
          <cell r="B100" t="str">
            <v>SwitcherManually controlled10 kV</v>
          </cell>
          <cell r="C100" t="str">
            <v>Switcher</v>
          </cell>
          <cell r="D100" t="str">
            <v>Manually controlled</v>
          </cell>
          <cell r="E100" t="str">
            <v>10 kV</v>
          </cell>
          <cell r="I100">
            <v>10000</v>
          </cell>
          <cell r="J100">
            <v>25</v>
          </cell>
          <cell r="K100">
            <v>0.95</v>
          </cell>
          <cell r="L100">
            <v>5</v>
          </cell>
          <cell r="M100">
            <v>0.04</v>
          </cell>
          <cell r="N100">
            <v>5</v>
          </cell>
          <cell r="O100">
            <v>10000</v>
          </cell>
        </row>
        <row r="101">
          <cell r="B101" t="str">
            <v>SwitcherManually controlled15 kV</v>
          </cell>
          <cell r="C101" t="str">
            <v>Switcher</v>
          </cell>
          <cell r="D101" t="str">
            <v>Manually controlled</v>
          </cell>
          <cell r="E101" t="str">
            <v>15 kV</v>
          </cell>
          <cell r="I101">
            <v>10000</v>
          </cell>
          <cell r="J101">
            <v>25</v>
          </cell>
          <cell r="K101">
            <v>0.95</v>
          </cell>
          <cell r="L101">
            <v>5</v>
          </cell>
          <cell r="M101">
            <v>0.04</v>
          </cell>
          <cell r="N101">
            <v>5</v>
          </cell>
          <cell r="O101">
            <v>10000</v>
          </cell>
        </row>
        <row r="102">
          <cell r="B102" t="str">
            <v>SwitcherManually controlled20 kV</v>
          </cell>
          <cell r="C102" t="str">
            <v>Switcher</v>
          </cell>
          <cell r="D102" t="str">
            <v>Manually controlled</v>
          </cell>
          <cell r="E102" t="str">
            <v>20 kV</v>
          </cell>
          <cell r="I102">
            <v>15000</v>
          </cell>
          <cell r="J102">
            <v>25</v>
          </cell>
          <cell r="K102">
            <v>0.95</v>
          </cell>
          <cell r="L102">
            <v>5</v>
          </cell>
          <cell r="M102">
            <v>0.04</v>
          </cell>
          <cell r="N102">
            <v>5</v>
          </cell>
          <cell r="O102">
            <v>15000</v>
          </cell>
        </row>
        <row r="103">
          <cell r="B103" t="str">
            <v>SwitcherManually controlled6 kV</v>
          </cell>
          <cell r="C103" t="str">
            <v>Switcher</v>
          </cell>
          <cell r="D103" t="str">
            <v>Manually controlled</v>
          </cell>
          <cell r="E103" t="str">
            <v>6 kV</v>
          </cell>
          <cell r="I103">
            <v>10000</v>
          </cell>
          <cell r="J103">
            <v>25</v>
          </cell>
          <cell r="K103">
            <v>0.95</v>
          </cell>
          <cell r="L103">
            <v>5</v>
          </cell>
          <cell r="M103">
            <v>0.04</v>
          </cell>
          <cell r="N103">
            <v>5</v>
          </cell>
          <cell r="O103">
            <v>10000</v>
          </cell>
        </row>
        <row r="104">
          <cell r="B104" t="str">
            <v>SwitcherRemote controlled20 kV</v>
          </cell>
          <cell r="C104" t="str">
            <v>Switcher</v>
          </cell>
          <cell r="D104" t="str">
            <v>Remote controlled</v>
          </cell>
          <cell r="E104" t="str">
            <v>20 kV</v>
          </cell>
          <cell r="I104">
            <v>25000</v>
          </cell>
          <cell r="J104">
            <v>25</v>
          </cell>
          <cell r="K104">
            <v>0.95</v>
          </cell>
          <cell r="L104">
            <v>5</v>
          </cell>
          <cell r="M104">
            <v>0.04</v>
          </cell>
          <cell r="N104">
            <v>5</v>
          </cell>
          <cell r="O104">
            <v>25000</v>
          </cell>
        </row>
        <row r="105">
          <cell r="B105" t="str">
            <v>Customer ConnectionAerialInsulated wire1 phase</v>
          </cell>
          <cell r="C105" t="str">
            <v>Customer Connection</v>
          </cell>
          <cell r="D105" t="str">
            <v>Aerial</v>
          </cell>
          <cell r="E105" t="str">
            <v>Insulated wire</v>
          </cell>
          <cell r="F105" t="str">
            <v>1 phase</v>
          </cell>
          <cell r="I105">
            <v>160</v>
          </cell>
          <cell r="J105">
            <v>15</v>
          </cell>
          <cell r="K105">
            <v>0.95</v>
          </cell>
          <cell r="L105">
            <v>3</v>
          </cell>
          <cell r="M105">
            <v>0.04</v>
          </cell>
          <cell r="N105">
            <v>5</v>
          </cell>
          <cell r="O105">
            <v>160</v>
          </cell>
        </row>
        <row r="106">
          <cell r="B106" t="str">
            <v>Customer ConnectionAerialInsulated wire3 phase</v>
          </cell>
          <cell r="C106" t="str">
            <v>Customer Connection</v>
          </cell>
          <cell r="D106" t="str">
            <v>Aerial</v>
          </cell>
          <cell r="E106" t="str">
            <v>Insulated wire</v>
          </cell>
          <cell r="F106" t="str">
            <v>3 phase</v>
          </cell>
          <cell r="I106">
            <v>220</v>
          </cell>
          <cell r="J106">
            <v>15</v>
          </cell>
          <cell r="K106">
            <v>0.95</v>
          </cell>
          <cell r="L106">
            <v>3</v>
          </cell>
          <cell r="M106">
            <v>0.04</v>
          </cell>
          <cell r="N106">
            <v>5</v>
          </cell>
          <cell r="O106">
            <v>220</v>
          </cell>
        </row>
        <row r="107">
          <cell r="B107" t="str">
            <v>Customer ConnectionAerialNot Insulated wire1 phase</v>
          </cell>
          <cell r="C107" t="str">
            <v>Customer Connection</v>
          </cell>
          <cell r="D107" t="str">
            <v>Aerial</v>
          </cell>
          <cell r="E107" t="str">
            <v>Not Insulated wire</v>
          </cell>
          <cell r="F107" t="str">
            <v>1 phase</v>
          </cell>
          <cell r="I107">
            <v>150</v>
          </cell>
          <cell r="J107">
            <v>15</v>
          </cell>
          <cell r="K107">
            <v>0.95</v>
          </cell>
          <cell r="L107">
            <v>3</v>
          </cell>
          <cell r="M107">
            <v>0.04</v>
          </cell>
          <cell r="N107">
            <v>5</v>
          </cell>
          <cell r="O107">
            <v>150</v>
          </cell>
        </row>
        <row r="108">
          <cell r="B108" t="str">
            <v>Customer ConnectionAerialNot Insulated wire3 phase</v>
          </cell>
          <cell r="C108" t="str">
            <v>Customer Connection</v>
          </cell>
          <cell r="D108" t="str">
            <v>Aerial</v>
          </cell>
          <cell r="E108" t="str">
            <v>Not Insulated wire</v>
          </cell>
          <cell r="F108" t="str">
            <v>3 phase</v>
          </cell>
          <cell r="I108">
            <v>200</v>
          </cell>
          <cell r="J108">
            <v>15</v>
          </cell>
          <cell r="K108">
            <v>0.95</v>
          </cell>
          <cell r="L108">
            <v>3</v>
          </cell>
          <cell r="M108">
            <v>0.04</v>
          </cell>
          <cell r="N108">
            <v>5</v>
          </cell>
          <cell r="O108">
            <v>200</v>
          </cell>
        </row>
        <row r="109">
          <cell r="B109" t="str">
            <v>Customer ConnectionCableInsulated wire1 phase</v>
          </cell>
          <cell r="C109" t="str">
            <v>Customer Connection</v>
          </cell>
          <cell r="D109" t="str">
            <v>Cable</v>
          </cell>
          <cell r="E109" t="str">
            <v>Insulated wire</v>
          </cell>
          <cell r="F109" t="str">
            <v>1 phase</v>
          </cell>
          <cell r="I109">
            <v>1000</v>
          </cell>
          <cell r="J109">
            <v>35</v>
          </cell>
          <cell r="K109">
            <v>0.95</v>
          </cell>
          <cell r="L109">
            <v>8</v>
          </cell>
          <cell r="M109">
            <v>0.04</v>
          </cell>
          <cell r="N109">
            <v>5</v>
          </cell>
          <cell r="O109">
            <v>1000</v>
          </cell>
        </row>
        <row r="110">
          <cell r="B110" t="str">
            <v>Customer ConnectionCableInsulated wire3 phase</v>
          </cell>
          <cell r="C110" t="str">
            <v>Customer Connection</v>
          </cell>
          <cell r="D110" t="str">
            <v>Cable</v>
          </cell>
          <cell r="E110" t="str">
            <v>Insulated wire</v>
          </cell>
          <cell r="F110" t="str">
            <v>3 phase</v>
          </cell>
          <cell r="I110">
            <v>1000</v>
          </cell>
          <cell r="J110">
            <v>35</v>
          </cell>
          <cell r="K110">
            <v>0.95</v>
          </cell>
          <cell r="L110">
            <v>8</v>
          </cell>
          <cell r="M110">
            <v>0.04</v>
          </cell>
          <cell r="N110">
            <v>5</v>
          </cell>
          <cell r="O110">
            <v>1000</v>
          </cell>
        </row>
        <row r="111">
          <cell r="B111" t="str">
            <v>Electric LinesAerial1 x 110 kV2 phase(s)wire:OL-AL, 185 mm2Concrete Pole</v>
          </cell>
          <cell r="C111" t="str">
            <v>Electric Lines</v>
          </cell>
          <cell r="D111" t="str">
            <v>Aerial</v>
          </cell>
          <cell r="E111" t="str">
            <v>1 x 110 kV</v>
          </cell>
          <cell r="F111" t="str">
            <v>2 phase(s)</v>
          </cell>
          <cell r="G111" t="str">
            <v>wire:OL-AL, 185 mm2</v>
          </cell>
          <cell r="H111" t="str">
            <v>Concrete Pole</v>
          </cell>
          <cell r="I111">
            <v>48600</v>
          </cell>
          <cell r="J111">
            <v>40</v>
          </cell>
          <cell r="K111">
            <v>0.95</v>
          </cell>
          <cell r="L111">
            <v>9</v>
          </cell>
          <cell r="M111">
            <v>0.04</v>
          </cell>
          <cell r="N111">
            <v>5</v>
          </cell>
          <cell r="O111">
            <v>72000</v>
          </cell>
          <cell r="P111">
            <v>0.1</v>
          </cell>
          <cell r="Q111">
            <v>0.25</v>
          </cell>
        </row>
        <row r="112">
          <cell r="B112" t="str">
            <v>Electric LinesAerial1 x 110 kV2 phase(s)wire:OL-AL, 185 mm2Metal Pole</v>
          </cell>
          <cell r="C112" t="str">
            <v>Electric Lines</v>
          </cell>
          <cell r="D112" t="str">
            <v>Aerial</v>
          </cell>
          <cell r="E112" t="str">
            <v>1 x 110 kV</v>
          </cell>
          <cell r="F112" t="str">
            <v>2 phase(s)</v>
          </cell>
          <cell r="G112" t="str">
            <v>wire:OL-AL, 185 mm2</v>
          </cell>
          <cell r="H112" t="str">
            <v>Metal Pole</v>
          </cell>
          <cell r="I112">
            <v>66150</v>
          </cell>
          <cell r="J112">
            <v>40</v>
          </cell>
          <cell r="K112">
            <v>0.95</v>
          </cell>
          <cell r="L112">
            <v>9</v>
          </cell>
          <cell r="M112">
            <v>0.04</v>
          </cell>
          <cell r="N112">
            <v>5</v>
          </cell>
          <cell r="O112">
            <v>98000</v>
          </cell>
          <cell r="P112">
            <v>0.1</v>
          </cell>
          <cell r="Q112">
            <v>0.25</v>
          </cell>
        </row>
        <row r="113">
          <cell r="B113" t="str">
            <v>Electric LinesAerial1 x 110 kV2 phase(s)wire:OL-AL, 185 mm2Wood Pole</v>
          </cell>
          <cell r="C113" t="str">
            <v>Electric Lines</v>
          </cell>
          <cell r="D113" t="str">
            <v>Aerial</v>
          </cell>
          <cell r="E113" t="str">
            <v>1 x 110 kV</v>
          </cell>
          <cell r="F113" t="str">
            <v>2 phase(s)</v>
          </cell>
          <cell r="G113" t="str">
            <v>wire:OL-AL, 185 mm2</v>
          </cell>
          <cell r="H113" t="str">
            <v>Wood Pole</v>
          </cell>
          <cell r="I113">
            <v>45225</v>
          </cell>
          <cell r="J113">
            <v>35</v>
          </cell>
          <cell r="K113">
            <v>0.95</v>
          </cell>
          <cell r="L113">
            <v>8</v>
          </cell>
          <cell r="M113">
            <v>0.04</v>
          </cell>
          <cell r="N113">
            <v>5</v>
          </cell>
          <cell r="O113">
            <v>67000</v>
          </cell>
          <cell r="P113">
            <v>0.1</v>
          </cell>
          <cell r="Q113">
            <v>0.25</v>
          </cell>
        </row>
        <row r="114">
          <cell r="B114" t="str">
            <v>Electric LinesAerial1 x 110 kV2 phase(s)wire:OL-AL, 185 mm2Only the wire</v>
          </cell>
          <cell r="C114" t="str">
            <v>Electric Lines</v>
          </cell>
          <cell r="D114" t="str">
            <v>Aerial</v>
          </cell>
          <cell r="E114" t="str">
            <v>1 x 110 kV</v>
          </cell>
          <cell r="F114" t="str">
            <v>2 phase(s)</v>
          </cell>
          <cell r="G114" t="str">
            <v>wire:OL-AL, 185 mm2</v>
          </cell>
          <cell r="H114" t="str">
            <v>Only the wire</v>
          </cell>
          <cell r="I114">
            <v>24300</v>
          </cell>
          <cell r="J114">
            <v>25</v>
          </cell>
          <cell r="K114">
            <v>0.95</v>
          </cell>
          <cell r="L114">
            <v>5</v>
          </cell>
          <cell r="M114">
            <v>0.04</v>
          </cell>
          <cell r="N114">
            <v>5</v>
          </cell>
          <cell r="O114">
            <v>36000</v>
          </cell>
          <cell r="P114">
            <v>0.1</v>
          </cell>
          <cell r="Q114">
            <v>0.25</v>
          </cell>
        </row>
        <row r="115">
          <cell r="B115" t="str">
            <v>Electric LinesAerial1 x 110 kV3 phase(s)wire:OL-AL, 185 mm2Concrete Pole</v>
          </cell>
          <cell r="C115" t="str">
            <v>Electric Lines</v>
          </cell>
          <cell r="D115" t="str">
            <v>Aerial</v>
          </cell>
          <cell r="E115" t="str">
            <v>1 x 110 kV</v>
          </cell>
          <cell r="F115" t="str">
            <v>3 phase(s)</v>
          </cell>
          <cell r="G115" t="str">
            <v>wire:OL-AL, 185 mm2</v>
          </cell>
          <cell r="H115" t="str">
            <v>Concrete Pole</v>
          </cell>
          <cell r="I115">
            <v>51300</v>
          </cell>
          <cell r="J115">
            <v>40</v>
          </cell>
          <cell r="K115">
            <v>0.95</v>
          </cell>
          <cell r="L115">
            <v>9</v>
          </cell>
          <cell r="M115">
            <v>0.04</v>
          </cell>
          <cell r="N115">
            <v>5</v>
          </cell>
          <cell r="O115">
            <v>76000</v>
          </cell>
          <cell r="P115">
            <v>0.1</v>
          </cell>
          <cell r="Q115">
            <v>0.25</v>
          </cell>
        </row>
        <row r="116">
          <cell r="B116" t="str">
            <v>Electric LinesAerial1 x 110 kV3 phase(s)wire:OL-AL, 185 mm2Metal Pole</v>
          </cell>
          <cell r="C116" t="str">
            <v>Electric Lines</v>
          </cell>
          <cell r="D116" t="str">
            <v>Aerial</v>
          </cell>
          <cell r="E116" t="str">
            <v>1 x 110 kV</v>
          </cell>
          <cell r="F116" t="str">
            <v>3 phase(s)</v>
          </cell>
          <cell r="G116" t="str">
            <v>wire:OL-AL, 185 mm2</v>
          </cell>
          <cell r="H116" t="str">
            <v>Metal Pole</v>
          </cell>
          <cell r="I116">
            <v>70200</v>
          </cell>
          <cell r="J116">
            <v>40</v>
          </cell>
          <cell r="K116">
            <v>0.95</v>
          </cell>
          <cell r="L116">
            <v>9</v>
          </cell>
          <cell r="M116">
            <v>0.04</v>
          </cell>
          <cell r="N116">
            <v>5</v>
          </cell>
          <cell r="O116">
            <v>104000</v>
          </cell>
          <cell r="P116">
            <v>0.1</v>
          </cell>
          <cell r="Q116">
            <v>0.25</v>
          </cell>
        </row>
        <row r="117">
          <cell r="B117" t="str">
            <v>Electric LinesAerial1 x 110 kV3 phase(s)wire:OL-AL, 185 mm2Wood Pole</v>
          </cell>
          <cell r="C117" t="str">
            <v>Electric Lines</v>
          </cell>
          <cell r="D117" t="str">
            <v>Aerial</v>
          </cell>
          <cell r="E117" t="str">
            <v>1 x 110 kV</v>
          </cell>
          <cell r="F117" t="str">
            <v>3 phase(s)</v>
          </cell>
          <cell r="G117" t="str">
            <v>wire:OL-AL, 185 mm2</v>
          </cell>
          <cell r="H117" t="str">
            <v>Wood Pole</v>
          </cell>
          <cell r="I117">
            <v>47925</v>
          </cell>
          <cell r="J117">
            <v>35</v>
          </cell>
          <cell r="K117">
            <v>0.95</v>
          </cell>
          <cell r="L117">
            <v>8</v>
          </cell>
          <cell r="M117">
            <v>0.04</v>
          </cell>
          <cell r="N117">
            <v>5</v>
          </cell>
          <cell r="O117">
            <v>71000</v>
          </cell>
          <cell r="P117">
            <v>0.1</v>
          </cell>
          <cell r="Q117">
            <v>0.25</v>
          </cell>
        </row>
        <row r="118">
          <cell r="B118" t="str">
            <v>Electric LinesAerial1 x 110 kV3 phase(s)wire:OL-AL, 185 mm2Only the wire</v>
          </cell>
          <cell r="C118" t="str">
            <v>Electric Lines</v>
          </cell>
          <cell r="D118" t="str">
            <v>Aerial</v>
          </cell>
          <cell r="E118" t="str">
            <v>1 x 110 kV</v>
          </cell>
          <cell r="F118" t="str">
            <v>3 phase(s)</v>
          </cell>
          <cell r="G118" t="str">
            <v>wire:OL-AL, 185 mm2</v>
          </cell>
          <cell r="H118" t="str">
            <v>Only the wire</v>
          </cell>
          <cell r="I118">
            <v>25650</v>
          </cell>
          <cell r="J118">
            <v>25</v>
          </cell>
          <cell r="K118">
            <v>0.95</v>
          </cell>
          <cell r="L118">
            <v>5</v>
          </cell>
          <cell r="M118">
            <v>0.04</v>
          </cell>
          <cell r="N118">
            <v>5</v>
          </cell>
          <cell r="O118">
            <v>38000</v>
          </cell>
          <cell r="P118">
            <v>0.1</v>
          </cell>
          <cell r="Q118">
            <v>0.25</v>
          </cell>
        </row>
        <row r="119">
          <cell r="B119" t="str">
            <v>Electric LinesAerial1 x 110 kV3 phase(s)wire:OL-AL, 150 mm2Concrete Pole</v>
          </cell>
          <cell r="C119" t="str">
            <v>Electric Lines</v>
          </cell>
          <cell r="D119" t="str">
            <v>Aerial</v>
          </cell>
          <cell r="E119" t="str">
            <v>1 x 110 kV</v>
          </cell>
          <cell r="F119" t="str">
            <v>3 phase(s)</v>
          </cell>
          <cell r="G119" t="str">
            <v>wire:OL-AL, 150 mm2</v>
          </cell>
          <cell r="H119" t="str">
            <v>Concrete Pole</v>
          </cell>
          <cell r="I119">
            <v>48600</v>
          </cell>
          <cell r="J119">
            <v>40</v>
          </cell>
          <cell r="K119">
            <v>0.95</v>
          </cell>
          <cell r="L119">
            <v>9</v>
          </cell>
          <cell r="M119">
            <v>0.04</v>
          </cell>
          <cell r="N119">
            <v>5</v>
          </cell>
          <cell r="O119">
            <v>72000</v>
          </cell>
          <cell r="P119">
            <v>0.1</v>
          </cell>
          <cell r="Q119">
            <v>0.25</v>
          </cell>
        </row>
        <row r="120">
          <cell r="B120" t="str">
            <v>Electric LinesAerial1 x 110 kV3 phase(s)wire:OL-AL, 150 mm2Metal Pole</v>
          </cell>
          <cell r="C120" t="str">
            <v>Electric Lines</v>
          </cell>
          <cell r="D120" t="str">
            <v>Aerial</v>
          </cell>
          <cell r="E120" t="str">
            <v>1 x 110 kV</v>
          </cell>
          <cell r="F120" t="str">
            <v>3 phase(s)</v>
          </cell>
          <cell r="G120" t="str">
            <v>wire:OL-AL, 150 mm2</v>
          </cell>
          <cell r="H120" t="str">
            <v>Metal Pole</v>
          </cell>
          <cell r="I120">
            <v>66150</v>
          </cell>
          <cell r="J120">
            <v>40</v>
          </cell>
          <cell r="K120">
            <v>0.95</v>
          </cell>
          <cell r="L120">
            <v>9</v>
          </cell>
          <cell r="M120">
            <v>0.04</v>
          </cell>
          <cell r="N120">
            <v>5</v>
          </cell>
          <cell r="O120">
            <v>98000</v>
          </cell>
          <cell r="P120">
            <v>0.1</v>
          </cell>
          <cell r="Q120">
            <v>0.25</v>
          </cell>
        </row>
        <row r="121">
          <cell r="B121" t="str">
            <v>Electric LinesAerial1 x 110 kV3 phase(s)wire:OL-AL, 150 mm2Wood Pole</v>
          </cell>
          <cell r="C121" t="str">
            <v>Electric Lines</v>
          </cell>
          <cell r="D121" t="str">
            <v>Aerial</v>
          </cell>
          <cell r="E121" t="str">
            <v>1 x 110 kV</v>
          </cell>
          <cell r="F121" t="str">
            <v>3 phase(s)</v>
          </cell>
          <cell r="G121" t="str">
            <v>wire:OL-AL, 150 mm2</v>
          </cell>
          <cell r="H121" t="str">
            <v>Wood Pole</v>
          </cell>
          <cell r="I121">
            <v>45225</v>
          </cell>
          <cell r="J121">
            <v>35</v>
          </cell>
          <cell r="K121">
            <v>0.95</v>
          </cell>
          <cell r="L121">
            <v>8</v>
          </cell>
          <cell r="M121">
            <v>0.04</v>
          </cell>
          <cell r="N121">
            <v>5</v>
          </cell>
          <cell r="O121">
            <v>67000</v>
          </cell>
          <cell r="P121">
            <v>0.1</v>
          </cell>
          <cell r="Q121">
            <v>0.25</v>
          </cell>
        </row>
        <row r="122">
          <cell r="B122" t="str">
            <v>Electric LinesAerial1 x 110 kV3 phase(s)wire:OL-AL, 150 mm2Only the wire</v>
          </cell>
          <cell r="C122" t="str">
            <v>Electric Lines</v>
          </cell>
          <cell r="D122" t="str">
            <v>Aerial</v>
          </cell>
          <cell r="E122" t="str">
            <v>1 x 110 kV</v>
          </cell>
          <cell r="F122" t="str">
            <v>3 phase(s)</v>
          </cell>
          <cell r="G122" t="str">
            <v>wire:OL-AL, 150 mm2</v>
          </cell>
          <cell r="H122" t="str">
            <v>Only the wire</v>
          </cell>
          <cell r="I122">
            <v>24300</v>
          </cell>
          <cell r="J122">
            <v>25</v>
          </cell>
          <cell r="K122">
            <v>0.95</v>
          </cell>
          <cell r="L122">
            <v>5</v>
          </cell>
          <cell r="M122">
            <v>0.04</v>
          </cell>
          <cell r="N122">
            <v>5</v>
          </cell>
          <cell r="O122">
            <v>36000</v>
          </cell>
          <cell r="P122">
            <v>0.1</v>
          </cell>
          <cell r="Q122">
            <v>0.25</v>
          </cell>
        </row>
        <row r="123">
          <cell r="B123" t="str">
            <v>Electric LinesAerial1 x 110 kV3 phase(s)wire:OL-AL, 170 mm2Concrete Pole</v>
          </cell>
          <cell r="C123" t="str">
            <v>Electric Lines</v>
          </cell>
          <cell r="D123" t="str">
            <v>Aerial</v>
          </cell>
          <cell r="E123" t="str">
            <v>1 x 110 kV</v>
          </cell>
          <cell r="F123" t="str">
            <v>3 phase(s)</v>
          </cell>
          <cell r="G123" t="str">
            <v>wire:OL-AL, 170 mm2</v>
          </cell>
          <cell r="H123" t="str">
            <v>Concrete Pole</v>
          </cell>
          <cell r="I123">
            <v>51300</v>
          </cell>
          <cell r="J123">
            <v>40</v>
          </cell>
          <cell r="K123">
            <v>0.95</v>
          </cell>
          <cell r="L123">
            <v>9</v>
          </cell>
          <cell r="M123">
            <v>0.04</v>
          </cell>
          <cell r="N123">
            <v>5</v>
          </cell>
          <cell r="O123">
            <v>76000</v>
          </cell>
          <cell r="P123">
            <v>0.1</v>
          </cell>
          <cell r="Q123">
            <v>0.25</v>
          </cell>
        </row>
        <row r="124">
          <cell r="B124" t="str">
            <v>Electric LinesAerial1 x 110 kV3 phase(s)wire:OL-AL, 170 mm2Metal Pole</v>
          </cell>
          <cell r="C124" t="str">
            <v>Electric Lines</v>
          </cell>
          <cell r="D124" t="str">
            <v>Aerial</v>
          </cell>
          <cell r="E124" t="str">
            <v>1 x 110 kV</v>
          </cell>
          <cell r="F124" t="str">
            <v>3 phase(s)</v>
          </cell>
          <cell r="G124" t="str">
            <v>wire:OL-AL, 170 mm2</v>
          </cell>
          <cell r="H124" t="str">
            <v>Metal Pole</v>
          </cell>
          <cell r="I124">
            <v>70200</v>
          </cell>
          <cell r="J124">
            <v>40</v>
          </cell>
          <cell r="K124">
            <v>0.95</v>
          </cell>
          <cell r="L124">
            <v>9</v>
          </cell>
          <cell r="M124">
            <v>0.04</v>
          </cell>
          <cell r="N124">
            <v>5</v>
          </cell>
          <cell r="O124">
            <v>104000</v>
          </cell>
          <cell r="P124">
            <v>0.1</v>
          </cell>
          <cell r="Q124">
            <v>0.25</v>
          </cell>
        </row>
        <row r="125">
          <cell r="B125" t="str">
            <v>Electric LinesAerial1 x 110 kV3 phase(s)wire:OL-AL, 170 mm2Wood Pole</v>
          </cell>
          <cell r="C125" t="str">
            <v>Electric Lines</v>
          </cell>
          <cell r="D125" t="str">
            <v>Aerial</v>
          </cell>
          <cell r="E125" t="str">
            <v>1 x 110 kV</v>
          </cell>
          <cell r="F125" t="str">
            <v>3 phase(s)</v>
          </cell>
          <cell r="G125" t="str">
            <v>wire:OL-AL, 170 mm2</v>
          </cell>
          <cell r="H125" t="str">
            <v>Wood Pole</v>
          </cell>
          <cell r="I125">
            <v>47925</v>
          </cell>
          <cell r="J125">
            <v>35</v>
          </cell>
          <cell r="K125">
            <v>0.95</v>
          </cell>
          <cell r="L125">
            <v>8</v>
          </cell>
          <cell r="M125">
            <v>0.04</v>
          </cell>
          <cell r="N125">
            <v>5</v>
          </cell>
          <cell r="O125">
            <v>71000</v>
          </cell>
          <cell r="P125">
            <v>0.1</v>
          </cell>
          <cell r="Q125">
            <v>0.25</v>
          </cell>
        </row>
        <row r="126">
          <cell r="B126" t="str">
            <v>Electric LinesAerial1 x 110 kV3 phase(s)wire:OL-AL, 170 mm2Only the wire</v>
          </cell>
          <cell r="C126" t="str">
            <v>Electric Lines</v>
          </cell>
          <cell r="D126" t="str">
            <v>Aerial</v>
          </cell>
          <cell r="E126" t="str">
            <v>1 x 110 kV</v>
          </cell>
          <cell r="F126" t="str">
            <v>3 phase(s)</v>
          </cell>
          <cell r="G126" t="str">
            <v>wire:OL-AL, 170 mm2</v>
          </cell>
          <cell r="H126" t="str">
            <v>Only the wire</v>
          </cell>
          <cell r="I126">
            <v>25650</v>
          </cell>
          <cell r="J126">
            <v>25</v>
          </cell>
          <cell r="K126">
            <v>0.95</v>
          </cell>
          <cell r="L126">
            <v>5</v>
          </cell>
          <cell r="M126">
            <v>0.04</v>
          </cell>
          <cell r="N126">
            <v>5</v>
          </cell>
          <cell r="O126">
            <v>38000</v>
          </cell>
          <cell r="P126">
            <v>0.1</v>
          </cell>
          <cell r="Q126">
            <v>0.25</v>
          </cell>
        </row>
        <row r="127">
          <cell r="B127" t="str">
            <v>Electric LinesAerial1 x 110 kV3 phase(s)wire:OL-AL, 185 mm2Concrete Pole</v>
          </cell>
          <cell r="C127" t="str">
            <v>Electric Lines</v>
          </cell>
          <cell r="D127" t="str">
            <v>Aerial</v>
          </cell>
          <cell r="E127" t="str">
            <v>1 x 110 kV</v>
          </cell>
          <cell r="F127" t="str">
            <v>3 phase(s)</v>
          </cell>
          <cell r="G127" t="str">
            <v>wire:OL-AL, 185 mm2</v>
          </cell>
          <cell r="H127" t="str">
            <v>Concrete Pole</v>
          </cell>
          <cell r="I127">
            <v>51300</v>
          </cell>
          <cell r="J127">
            <v>40</v>
          </cell>
          <cell r="K127">
            <v>0.95</v>
          </cell>
          <cell r="L127">
            <v>9</v>
          </cell>
          <cell r="M127">
            <v>0.04</v>
          </cell>
          <cell r="N127">
            <v>5</v>
          </cell>
          <cell r="O127">
            <v>76000</v>
          </cell>
          <cell r="P127">
            <v>0.1</v>
          </cell>
          <cell r="Q127">
            <v>0.25</v>
          </cell>
        </row>
        <row r="128">
          <cell r="B128" t="str">
            <v>Electric LinesAerial1 x 110 kV3 phase(s)wire:OL-AL, 185 mm2Metal Pole</v>
          </cell>
          <cell r="C128" t="str">
            <v>Electric Lines</v>
          </cell>
          <cell r="D128" t="str">
            <v>Aerial</v>
          </cell>
          <cell r="E128" t="str">
            <v>1 x 110 kV</v>
          </cell>
          <cell r="F128" t="str">
            <v>3 phase(s)</v>
          </cell>
          <cell r="G128" t="str">
            <v>wire:OL-AL, 185 mm2</v>
          </cell>
          <cell r="H128" t="str">
            <v>Metal Pole</v>
          </cell>
          <cell r="I128">
            <v>70200</v>
          </cell>
          <cell r="J128">
            <v>40</v>
          </cell>
          <cell r="K128">
            <v>0.95</v>
          </cell>
          <cell r="L128">
            <v>9</v>
          </cell>
          <cell r="M128">
            <v>0.04</v>
          </cell>
          <cell r="N128">
            <v>5</v>
          </cell>
          <cell r="O128">
            <v>104000</v>
          </cell>
          <cell r="P128">
            <v>0.1</v>
          </cell>
          <cell r="Q128">
            <v>0.25</v>
          </cell>
        </row>
        <row r="129">
          <cell r="B129" t="str">
            <v>Electric LinesAerial1 x 110 kV3 phase(s)wire:OL-AL, 185 mm2Wood Pole</v>
          </cell>
          <cell r="C129" t="str">
            <v>Electric Lines</v>
          </cell>
          <cell r="D129" t="str">
            <v>Aerial</v>
          </cell>
          <cell r="E129" t="str">
            <v>1 x 110 kV</v>
          </cell>
          <cell r="F129" t="str">
            <v>3 phase(s)</v>
          </cell>
          <cell r="G129" t="str">
            <v>wire:OL-AL, 185 mm2</v>
          </cell>
          <cell r="H129" t="str">
            <v>Wood Pole</v>
          </cell>
          <cell r="I129">
            <v>47925</v>
          </cell>
          <cell r="J129">
            <v>35</v>
          </cell>
          <cell r="K129">
            <v>0.95</v>
          </cell>
          <cell r="L129">
            <v>8</v>
          </cell>
          <cell r="M129">
            <v>0.04</v>
          </cell>
          <cell r="N129">
            <v>5</v>
          </cell>
          <cell r="O129">
            <v>71000</v>
          </cell>
          <cell r="P129">
            <v>0.1</v>
          </cell>
          <cell r="Q129">
            <v>0.25</v>
          </cell>
        </row>
        <row r="130">
          <cell r="B130" t="str">
            <v>Electric LinesAerial1 x 110 kV3 phase(s)wire:OL-AL, 185 mm2Only the wire</v>
          </cell>
          <cell r="C130" t="str">
            <v>Electric Lines</v>
          </cell>
          <cell r="D130" t="str">
            <v>Aerial</v>
          </cell>
          <cell r="E130" t="str">
            <v>1 x 110 kV</v>
          </cell>
          <cell r="F130" t="str">
            <v>3 phase(s)</v>
          </cell>
          <cell r="G130" t="str">
            <v>wire:OL-AL, 185 mm2</v>
          </cell>
          <cell r="H130" t="str">
            <v>Only the wire</v>
          </cell>
          <cell r="I130">
            <v>25650</v>
          </cell>
          <cell r="J130">
            <v>25</v>
          </cell>
          <cell r="K130">
            <v>0.95</v>
          </cell>
          <cell r="L130">
            <v>5</v>
          </cell>
          <cell r="M130">
            <v>0.04</v>
          </cell>
          <cell r="N130">
            <v>5</v>
          </cell>
          <cell r="O130">
            <v>38000</v>
          </cell>
          <cell r="P130">
            <v>0.1</v>
          </cell>
          <cell r="Q130">
            <v>0.25</v>
          </cell>
        </row>
        <row r="131">
          <cell r="B131" t="str">
            <v>Electric LinesAerial1 x 110 kV3 phase(s)wire:OL-AL, 186 mm2Concrete Pole</v>
          </cell>
          <cell r="C131" t="str">
            <v>Electric Lines</v>
          </cell>
          <cell r="D131" t="str">
            <v>Aerial</v>
          </cell>
          <cell r="E131" t="str">
            <v>1 x 110 kV</v>
          </cell>
          <cell r="F131" t="str">
            <v>3 phase(s)</v>
          </cell>
          <cell r="G131" t="str">
            <v>wire:OL-AL, 186 mm2</v>
          </cell>
          <cell r="H131" t="str">
            <v>Concrete Pole</v>
          </cell>
          <cell r="I131">
            <v>51300</v>
          </cell>
          <cell r="J131">
            <v>40</v>
          </cell>
          <cell r="K131">
            <v>0.95</v>
          </cell>
          <cell r="L131">
            <v>9</v>
          </cell>
          <cell r="M131">
            <v>0.04</v>
          </cell>
          <cell r="N131">
            <v>5</v>
          </cell>
          <cell r="O131">
            <v>76000</v>
          </cell>
          <cell r="P131">
            <v>0.1</v>
          </cell>
          <cell r="Q131">
            <v>0.25</v>
          </cell>
        </row>
        <row r="132">
          <cell r="B132" t="str">
            <v>Electric LinesAerial1 x 110 kV3 phase(s)wire:OL-AL, 186 mm2Metal Pole</v>
          </cell>
          <cell r="C132" t="str">
            <v>Electric Lines</v>
          </cell>
          <cell r="D132" t="str">
            <v>Aerial</v>
          </cell>
          <cell r="E132" t="str">
            <v>1 x 110 kV</v>
          </cell>
          <cell r="F132" t="str">
            <v>3 phase(s)</v>
          </cell>
          <cell r="G132" t="str">
            <v>wire:OL-AL, 186 mm2</v>
          </cell>
          <cell r="H132" t="str">
            <v>Metal Pole</v>
          </cell>
          <cell r="I132">
            <v>70200</v>
          </cell>
          <cell r="J132">
            <v>40</v>
          </cell>
          <cell r="K132">
            <v>0.95</v>
          </cell>
          <cell r="L132">
            <v>9</v>
          </cell>
          <cell r="M132">
            <v>0.04</v>
          </cell>
          <cell r="N132">
            <v>5</v>
          </cell>
          <cell r="O132">
            <v>104000</v>
          </cell>
          <cell r="P132">
            <v>0.1</v>
          </cell>
          <cell r="Q132">
            <v>0.25</v>
          </cell>
        </row>
        <row r="133">
          <cell r="B133" t="str">
            <v>Electric LinesAerial1 x 110 kV3 phase(s)wire:OL-AL, 186 mm2Wood Pole</v>
          </cell>
          <cell r="C133" t="str">
            <v>Electric Lines</v>
          </cell>
          <cell r="D133" t="str">
            <v>Aerial</v>
          </cell>
          <cell r="E133" t="str">
            <v>1 x 110 kV</v>
          </cell>
          <cell r="F133" t="str">
            <v>3 phase(s)</v>
          </cell>
          <cell r="G133" t="str">
            <v>wire:OL-AL, 186 mm2</v>
          </cell>
          <cell r="H133" t="str">
            <v>Wood Pole</v>
          </cell>
          <cell r="I133">
            <v>47925</v>
          </cell>
          <cell r="J133">
            <v>35</v>
          </cell>
          <cell r="K133">
            <v>0.95</v>
          </cell>
          <cell r="L133">
            <v>8</v>
          </cell>
          <cell r="M133">
            <v>0.04</v>
          </cell>
          <cell r="N133">
            <v>5</v>
          </cell>
          <cell r="O133">
            <v>71000</v>
          </cell>
          <cell r="P133">
            <v>0.1</v>
          </cell>
          <cell r="Q133">
            <v>0.25</v>
          </cell>
        </row>
        <row r="134">
          <cell r="B134" t="str">
            <v>Electric LinesAerial1 x 110 kV3 phase(s)wire:OL-AL, 186 mm2Only the wire</v>
          </cell>
          <cell r="C134" t="str">
            <v>Electric Lines</v>
          </cell>
          <cell r="D134" t="str">
            <v>Aerial</v>
          </cell>
          <cell r="E134" t="str">
            <v>1 x 110 kV</v>
          </cell>
          <cell r="F134" t="str">
            <v>3 phase(s)</v>
          </cell>
          <cell r="G134" t="str">
            <v>wire:OL-AL, 186 mm2</v>
          </cell>
          <cell r="H134" t="str">
            <v>Only the wire</v>
          </cell>
          <cell r="I134">
            <v>25650</v>
          </cell>
          <cell r="J134">
            <v>25</v>
          </cell>
          <cell r="K134">
            <v>0.95</v>
          </cell>
          <cell r="L134">
            <v>5</v>
          </cell>
          <cell r="M134">
            <v>0.04</v>
          </cell>
          <cell r="N134">
            <v>5</v>
          </cell>
          <cell r="O134">
            <v>38000</v>
          </cell>
          <cell r="P134">
            <v>0.1</v>
          </cell>
          <cell r="Q134">
            <v>0.25</v>
          </cell>
        </row>
        <row r="135">
          <cell r="B135" t="str">
            <v>Electric LinesAerial1 x 110 kV3 phase(s)wire:OL-AL, 187 mm2Concrete Pole</v>
          </cell>
          <cell r="C135" t="str">
            <v>Electric Lines</v>
          </cell>
          <cell r="D135" t="str">
            <v>Aerial</v>
          </cell>
          <cell r="E135" t="str">
            <v>1 x 110 kV</v>
          </cell>
          <cell r="F135" t="str">
            <v>3 phase(s)</v>
          </cell>
          <cell r="G135" t="str">
            <v>wire:OL-AL, 187 mm2</v>
          </cell>
          <cell r="H135" t="str">
            <v>Concrete Pole</v>
          </cell>
          <cell r="I135">
            <v>51300</v>
          </cell>
          <cell r="J135">
            <v>40</v>
          </cell>
          <cell r="K135">
            <v>0.95</v>
          </cell>
          <cell r="L135">
            <v>9</v>
          </cell>
          <cell r="M135">
            <v>0.04</v>
          </cell>
          <cell r="N135">
            <v>5</v>
          </cell>
          <cell r="O135">
            <v>76000</v>
          </cell>
          <cell r="P135">
            <v>0.1</v>
          </cell>
          <cell r="Q135">
            <v>0.25</v>
          </cell>
        </row>
        <row r="136">
          <cell r="B136" t="str">
            <v>Electric LinesAerial1 x 110 kV3 phase(s)wire:OL-AL, 187 mm2Metal Pole</v>
          </cell>
          <cell r="C136" t="str">
            <v>Electric Lines</v>
          </cell>
          <cell r="D136" t="str">
            <v>Aerial</v>
          </cell>
          <cell r="E136" t="str">
            <v>1 x 110 kV</v>
          </cell>
          <cell r="F136" t="str">
            <v>3 phase(s)</v>
          </cell>
          <cell r="G136" t="str">
            <v>wire:OL-AL, 187 mm2</v>
          </cell>
          <cell r="H136" t="str">
            <v>Metal Pole</v>
          </cell>
          <cell r="I136">
            <v>70200</v>
          </cell>
          <cell r="J136">
            <v>40</v>
          </cell>
          <cell r="K136">
            <v>0.95</v>
          </cell>
          <cell r="L136">
            <v>9</v>
          </cell>
          <cell r="M136">
            <v>0.04</v>
          </cell>
          <cell r="N136">
            <v>5</v>
          </cell>
          <cell r="O136">
            <v>104000</v>
          </cell>
          <cell r="P136">
            <v>0.1</v>
          </cell>
          <cell r="Q136">
            <v>0.25</v>
          </cell>
        </row>
        <row r="137">
          <cell r="B137" t="str">
            <v>Electric LinesAerial1 x 110 kV3 phase(s)wire:OL-AL, 187 mm2Wood Pole</v>
          </cell>
          <cell r="C137" t="str">
            <v>Electric Lines</v>
          </cell>
          <cell r="D137" t="str">
            <v>Aerial</v>
          </cell>
          <cell r="E137" t="str">
            <v>1 x 110 kV</v>
          </cell>
          <cell r="F137" t="str">
            <v>3 phase(s)</v>
          </cell>
          <cell r="G137" t="str">
            <v>wire:OL-AL, 187 mm2</v>
          </cell>
          <cell r="H137" t="str">
            <v>Wood Pole</v>
          </cell>
          <cell r="I137">
            <v>47925</v>
          </cell>
          <cell r="J137">
            <v>35</v>
          </cell>
          <cell r="K137">
            <v>0.95</v>
          </cell>
          <cell r="L137">
            <v>8</v>
          </cell>
          <cell r="M137">
            <v>0.04</v>
          </cell>
          <cell r="N137">
            <v>5</v>
          </cell>
          <cell r="O137">
            <v>71000</v>
          </cell>
          <cell r="P137">
            <v>0.1</v>
          </cell>
          <cell r="Q137">
            <v>0.25</v>
          </cell>
        </row>
        <row r="138">
          <cell r="B138" t="str">
            <v>Electric LinesAerial1 x 110 kV3 phase(s)wire:OL-AL, 187 mm2Only the wire</v>
          </cell>
          <cell r="C138" t="str">
            <v>Electric Lines</v>
          </cell>
          <cell r="D138" t="str">
            <v>Aerial</v>
          </cell>
          <cell r="E138" t="str">
            <v>1 x 110 kV</v>
          </cell>
          <cell r="F138" t="str">
            <v>3 phase(s)</v>
          </cell>
          <cell r="G138" t="str">
            <v>wire:OL-AL, 187 mm2</v>
          </cell>
          <cell r="H138" t="str">
            <v>Only the wire</v>
          </cell>
          <cell r="I138">
            <v>25650</v>
          </cell>
          <cell r="J138">
            <v>25</v>
          </cell>
          <cell r="K138">
            <v>0.95</v>
          </cell>
          <cell r="L138">
            <v>5</v>
          </cell>
          <cell r="M138">
            <v>0.04</v>
          </cell>
          <cell r="N138">
            <v>5</v>
          </cell>
          <cell r="O138">
            <v>38000</v>
          </cell>
          <cell r="P138">
            <v>0.1</v>
          </cell>
          <cell r="Q138">
            <v>0.25</v>
          </cell>
        </row>
        <row r="139">
          <cell r="B139" t="str">
            <v>Electric LinesAerial1 x 110 kV3 phase(s)wire:OL-AL, 240 mm2Concrete Pole</v>
          </cell>
          <cell r="C139" t="str">
            <v>Electric Lines</v>
          </cell>
          <cell r="D139" t="str">
            <v>Aerial</v>
          </cell>
          <cell r="E139" t="str">
            <v>1 x 110 kV</v>
          </cell>
          <cell r="F139" t="str">
            <v>3 phase(s)</v>
          </cell>
          <cell r="G139" t="str">
            <v>wire:OL-AL, 240 mm2</v>
          </cell>
          <cell r="H139" t="str">
            <v>Concrete Pole</v>
          </cell>
          <cell r="I139">
            <v>54000</v>
          </cell>
          <cell r="J139">
            <v>40</v>
          </cell>
          <cell r="K139">
            <v>0.95</v>
          </cell>
          <cell r="L139">
            <v>9</v>
          </cell>
          <cell r="M139">
            <v>0.04</v>
          </cell>
          <cell r="N139">
            <v>5</v>
          </cell>
          <cell r="O139">
            <v>80000</v>
          </cell>
          <cell r="P139">
            <v>0.1</v>
          </cell>
          <cell r="Q139">
            <v>0.25</v>
          </cell>
        </row>
        <row r="140">
          <cell r="B140" t="str">
            <v>Electric LinesAerial1 x 110 kV3 phase(s)wire:OL-AL, 240 mm2Metal Pole</v>
          </cell>
          <cell r="C140" t="str">
            <v>Electric Lines</v>
          </cell>
          <cell r="D140" t="str">
            <v>Aerial</v>
          </cell>
          <cell r="E140" t="str">
            <v>1 x 110 kV</v>
          </cell>
          <cell r="F140" t="str">
            <v>3 phase(s)</v>
          </cell>
          <cell r="G140" t="str">
            <v>wire:OL-AL, 240 mm2</v>
          </cell>
          <cell r="H140" t="str">
            <v>Metal Pole</v>
          </cell>
          <cell r="I140">
            <v>74250</v>
          </cell>
          <cell r="J140">
            <v>40</v>
          </cell>
          <cell r="K140">
            <v>0.95</v>
          </cell>
          <cell r="L140">
            <v>9</v>
          </cell>
          <cell r="M140">
            <v>0.04</v>
          </cell>
          <cell r="N140">
            <v>5</v>
          </cell>
          <cell r="O140">
            <v>110000</v>
          </cell>
          <cell r="P140">
            <v>0.1</v>
          </cell>
          <cell r="Q140">
            <v>0.25</v>
          </cell>
        </row>
        <row r="141">
          <cell r="B141" t="str">
            <v>Electric LinesAerial1 x 110 kV3 phase(s)wire:OL-AL, 240 mm2Wood Pole</v>
          </cell>
          <cell r="C141" t="str">
            <v>Electric Lines</v>
          </cell>
          <cell r="D141" t="str">
            <v>Aerial</v>
          </cell>
          <cell r="E141" t="str">
            <v>1 x 110 kV</v>
          </cell>
          <cell r="F141" t="str">
            <v>3 phase(s)</v>
          </cell>
          <cell r="G141" t="str">
            <v>wire:OL-AL, 240 mm2</v>
          </cell>
          <cell r="H141" t="str">
            <v>Wood Pole</v>
          </cell>
          <cell r="I141">
            <v>50625</v>
          </cell>
          <cell r="J141">
            <v>35</v>
          </cell>
          <cell r="K141">
            <v>0.95</v>
          </cell>
          <cell r="L141">
            <v>8</v>
          </cell>
          <cell r="M141">
            <v>0.04</v>
          </cell>
          <cell r="N141">
            <v>5</v>
          </cell>
          <cell r="O141">
            <v>75000</v>
          </cell>
          <cell r="P141">
            <v>0.1</v>
          </cell>
          <cell r="Q141">
            <v>0.25</v>
          </cell>
        </row>
        <row r="142">
          <cell r="B142" t="str">
            <v>Electric LinesAerial1 x 110 kV3 phase(s)wire:OL-AL, 240 mm2Only the wire</v>
          </cell>
          <cell r="C142" t="str">
            <v>Electric Lines</v>
          </cell>
          <cell r="D142" t="str">
            <v>Aerial</v>
          </cell>
          <cell r="E142" t="str">
            <v>1 x 110 kV</v>
          </cell>
          <cell r="F142" t="str">
            <v>3 phase(s)</v>
          </cell>
          <cell r="G142" t="str">
            <v>wire:OL-AL, 240 mm2</v>
          </cell>
          <cell r="H142" t="str">
            <v>Only the wire</v>
          </cell>
          <cell r="I142">
            <v>27000</v>
          </cell>
          <cell r="J142">
            <v>25</v>
          </cell>
          <cell r="K142">
            <v>0.95</v>
          </cell>
          <cell r="L142">
            <v>5</v>
          </cell>
          <cell r="M142">
            <v>0.04</v>
          </cell>
          <cell r="N142">
            <v>5</v>
          </cell>
          <cell r="O142">
            <v>40000</v>
          </cell>
          <cell r="P142">
            <v>0.1</v>
          </cell>
          <cell r="Q142">
            <v>0.25</v>
          </cell>
        </row>
        <row r="143">
          <cell r="B143" t="str">
            <v>Electric LinesAerial1 x 110 kV3 phase(s)wire:OL-AL, 300 mm2Concrete Pole</v>
          </cell>
          <cell r="C143" t="str">
            <v>Electric Lines</v>
          </cell>
          <cell r="D143" t="str">
            <v>Aerial</v>
          </cell>
          <cell r="E143" t="str">
            <v>1 x 110 kV</v>
          </cell>
          <cell r="F143" t="str">
            <v>3 phase(s)</v>
          </cell>
          <cell r="G143" t="str">
            <v>wire:OL-AL, 300 mm2</v>
          </cell>
          <cell r="H143" t="str">
            <v>Concrete Pole</v>
          </cell>
          <cell r="I143">
            <v>56700</v>
          </cell>
          <cell r="J143">
            <v>40</v>
          </cell>
          <cell r="K143">
            <v>0.95</v>
          </cell>
          <cell r="L143">
            <v>9</v>
          </cell>
          <cell r="M143">
            <v>0.04</v>
          </cell>
          <cell r="N143">
            <v>5</v>
          </cell>
          <cell r="O143">
            <v>84000</v>
          </cell>
          <cell r="P143">
            <v>0.1</v>
          </cell>
          <cell r="Q143">
            <v>0.25</v>
          </cell>
        </row>
        <row r="144">
          <cell r="B144" t="str">
            <v>Electric LinesAerial1 x 110 kV3 phase(s)wire:OL-AL, 300 mm2Metal Pole</v>
          </cell>
          <cell r="C144" t="str">
            <v>Electric Lines</v>
          </cell>
          <cell r="D144" t="str">
            <v>Aerial</v>
          </cell>
          <cell r="E144" t="str">
            <v>1 x 110 kV</v>
          </cell>
          <cell r="F144" t="str">
            <v>3 phase(s)</v>
          </cell>
          <cell r="G144" t="str">
            <v>wire:OL-AL, 300 mm2</v>
          </cell>
          <cell r="H144" t="str">
            <v>Metal Pole</v>
          </cell>
          <cell r="I144">
            <v>78300</v>
          </cell>
          <cell r="J144">
            <v>40</v>
          </cell>
          <cell r="K144">
            <v>0.95</v>
          </cell>
          <cell r="L144">
            <v>9</v>
          </cell>
          <cell r="M144">
            <v>0.04</v>
          </cell>
          <cell r="N144">
            <v>5</v>
          </cell>
          <cell r="O144">
            <v>116000</v>
          </cell>
          <cell r="P144">
            <v>0.1</v>
          </cell>
          <cell r="Q144">
            <v>0.25</v>
          </cell>
        </row>
        <row r="145">
          <cell r="B145" t="str">
            <v>Electric LinesAerial1 x 110 kV3 phase(s)wire:OL-AL, 300 mm2Wood Pole</v>
          </cell>
          <cell r="C145" t="str">
            <v>Electric Lines</v>
          </cell>
          <cell r="D145" t="str">
            <v>Aerial</v>
          </cell>
          <cell r="E145" t="str">
            <v>1 x 110 kV</v>
          </cell>
          <cell r="F145" t="str">
            <v>3 phase(s)</v>
          </cell>
          <cell r="G145" t="str">
            <v>wire:OL-AL, 300 mm2</v>
          </cell>
          <cell r="H145" t="str">
            <v>Wood Pole</v>
          </cell>
          <cell r="I145">
            <v>53325</v>
          </cell>
          <cell r="J145">
            <v>35</v>
          </cell>
          <cell r="K145">
            <v>0.95</v>
          </cell>
          <cell r="L145">
            <v>8</v>
          </cell>
          <cell r="M145">
            <v>0.04</v>
          </cell>
          <cell r="N145">
            <v>5</v>
          </cell>
          <cell r="O145">
            <v>79000</v>
          </cell>
          <cell r="P145">
            <v>0.1</v>
          </cell>
          <cell r="Q145">
            <v>0.25</v>
          </cell>
        </row>
        <row r="146">
          <cell r="B146" t="str">
            <v>Electric LinesAerial1 x 110 kV3 phase(s)wire:OL-AL, 300 mm2Only the wire</v>
          </cell>
          <cell r="C146" t="str">
            <v>Electric Lines</v>
          </cell>
          <cell r="D146" t="str">
            <v>Aerial</v>
          </cell>
          <cell r="E146" t="str">
            <v>1 x 110 kV</v>
          </cell>
          <cell r="F146" t="str">
            <v>3 phase(s)</v>
          </cell>
          <cell r="G146" t="str">
            <v>wire:OL-AL, 300 mm2</v>
          </cell>
          <cell r="H146" t="str">
            <v>Only the wire</v>
          </cell>
          <cell r="I146">
            <v>28350</v>
          </cell>
          <cell r="J146">
            <v>25</v>
          </cell>
          <cell r="K146">
            <v>0.95</v>
          </cell>
          <cell r="L146">
            <v>5</v>
          </cell>
          <cell r="M146">
            <v>0.04</v>
          </cell>
          <cell r="N146">
            <v>5</v>
          </cell>
          <cell r="O146">
            <v>42000</v>
          </cell>
          <cell r="P146">
            <v>0.1</v>
          </cell>
          <cell r="Q146">
            <v>0.25</v>
          </cell>
        </row>
        <row r="147">
          <cell r="B147" t="str">
            <v>Electric LinesAerial1 x 110 kV3 phase(s)wire:OL-AL, 450 mm2Concrete Pole</v>
          </cell>
          <cell r="C147" t="str">
            <v>Electric Lines</v>
          </cell>
          <cell r="D147" t="str">
            <v>Aerial</v>
          </cell>
          <cell r="E147" t="str">
            <v>1 x 110 kV</v>
          </cell>
          <cell r="F147" t="str">
            <v>3 phase(s)</v>
          </cell>
          <cell r="G147" t="str">
            <v>wire:OL-AL, 450 mm2</v>
          </cell>
          <cell r="H147" t="str">
            <v>Concrete Pole</v>
          </cell>
          <cell r="I147">
            <v>62100</v>
          </cell>
          <cell r="J147">
            <v>40</v>
          </cell>
          <cell r="K147">
            <v>0.95</v>
          </cell>
          <cell r="L147">
            <v>9</v>
          </cell>
          <cell r="M147">
            <v>0.04</v>
          </cell>
          <cell r="N147">
            <v>5</v>
          </cell>
          <cell r="O147">
            <v>92000</v>
          </cell>
          <cell r="P147">
            <v>0.1</v>
          </cell>
          <cell r="Q147">
            <v>0.25</v>
          </cell>
        </row>
        <row r="148">
          <cell r="B148" t="str">
            <v>Electric LinesAerial1 x 110 kV3 phase(s)wire:OL-AL, 450 mm2Metal Pole</v>
          </cell>
          <cell r="C148" t="str">
            <v>Electric Lines</v>
          </cell>
          <cell r="D148" t="str">
            <v>Aerial</v>
          </cell>
          <cell r="E148" t="str">
            <v>1 x 110 kV</v>
          </cell>
          <cell r="F148" t="str">
            <v>3 phase(s)</v>
          </cell>
          <cell r="G148" t="str">
            <v>wire:OL-AL, 450 mm2</v>
          </cell>
          <cell r="H148" t="str">
            <v>Metal Pole</v>
          </cell>
          <cell r="I148">
            <v>86400</v>
          </cell>
          <cell r="J148">
            <v>40</v>
          </cell>
          <cell r="K148">
            <v>0.95</v>
          </cell>
          <cell r="L148">
            <v>9</v>
          </cell>
          <cell r="M148">
            <v>0.04</v>
          </cell>
          <cell r="N148">
            <v>5</v>
          </cell>
          <cell r="O148">
            <v>128000</v>
          </cell>
          <cell r="P148">
            <v>0.1</v>
          </cell>
          <cell r="Q148">
            <v>0.25</v>
          </cell>
        </row>
        <row r="149">
          <cell r="B149" t="str">
            <v>Electric LinesAerial1 x 110 kV3 phase(s)wire:OL-AL, 450 mm2Wood Pole</v>
          </cell>
          <cell r="C149" t="str">
            <v>Electric Lines</v>
          </cell>
          <cell r="D149" t="str">
            <v>Aerial</v>
          </cell>
          <cell r="E149" t="str">
            <v>1 x 110 kV</v>
          </cell>
          <cell r="F149" t="str">
            <v>3 phase(s)</v>
          </cell>
          <cell r="G149" t="str">
            <v>wire:OL-AL, 450 mm2</v>
          </cell>
          <cell r="H149" t="str">
            <v>Wood Pole</v>
          </cell>
          <cell r="I149">
            <v>58725</v>
          </cell>
          <cell r="J149">
            <v>35</v>
          </cell>
          <cell r="K149">
            <v>0.95</v>
          </cell>
          <cell r="L149">
            <v>8</v>
          </cell>
          <cell r="M149">
            <v>0.04</v>
          </cell>
          <cell r="N149">
            <v>5</v>
          </cell>
          <cell r="O149">
            <v>87000</v>
          </cell>
          <cell r="P149">
            <v>0.1</v>
          </cell>
          <cell r="Q149">
            <v>0.25</v>
          </cell>
        </row>
        <row r="150">
          <cell r="B150" t="str">
            <v>Electric LinesAerial1 x 110 kV3 phase(s)wire:OL-AL, 450 mm2Only the wire</v>
          </cell>
          <cell r="C150" t="str">
            <v>Electric Lines</v>
          </cell>
          <cell r="D150" t="str">
            <v>Aerial</v>
          </cell>
          <cell r="E150" t="str">
            <v>1 x 110 kV</v>
          </cell>
          <cell r="F150" t="str">
            <v>3 phase(s)</v>
          </cell>
          <cell r="G150" t="str">
            <v>wire:OL-AL, 450 mm2</v>
          </cell>
          <cell r="H150" t="str">
            <v>Only the wire</v>
          </cell>
          <cell r="I150">
            <v>31050</v>
          </cell>
          <cell r="J150">
            <v>25</v>
          </cell>
          <cell r="K150">
            <v>0.95</v>
          </cell>
          <cell r="L150">
            <v>5</v>
          </cell>
          <cell r="M150">
            <v>0.04</v>
          </cell>
          <cell r="N150">
            <v>5</v>
          </cell>
          <cell r="O150">
            <v>46000</v>
          </cell>
          <cell r="P150">
            <v>0.1</v>
          </cell>
          <cell r="Q150">
            <v>0.25</v>
          </cell>
        </row>
        <row r="151">
          <cell r="B151" t="str">
            <v>Electric LinesAerial1 x 20 kV3 phase(s)wire:OL-AL, 185 mm2Concrete Pole</v>
          </cell>
          <cell r="C151" t="str">
            <v>Electric Lines</v>
          </cell>
          <cell r="D151" t="str">
            <v>Aerial</v>
          </cell>
          <cell r="E151" t="str">
            <v>1 x 20 kV</v>
          </cell>
          <cell r="F151" t="str">
            <v>3 phase(s)</v>
          </cell>
          <cell r="G151" t="str">
            <v>wire:OL-AL, 185 mm2</v>
          </cell>
          <cell r="H151" t="str">
            <v>Concrete Pole</v>
          </cell>
          <cell r="I151">
            <v>16200</v>
          </cell>
          <cell r="J151">
            <v>40</v>
          </cell>
          <cell r="K151">
            <v>0.95</v>
          </cell>
          <cell r="L151">
            <v>9</v>
          </cell>
          <cell r="M151">
            <v>0.04</v>
          </cell>
          <cell r="N151">
            <v>5</v>
          </cell>
          <cell r="O151">
            <v>30000</v>
          </cell>
          <cell r="P151">
            <v>0.1</v>
          </cell>
          <cell r="Q151">
            <v>0.4</v>
          </cell>
        </row>
        <row r="152">
          <cell r="B152" t="str">
            <v>Electric LinesAerial1 x 20 kV3 phase(s)wire:OL-AL, 185 mm2Metal Pole</v>
          </cell>
          <cell r="C152" t="str">
            <v>Electric Lines</v>
          </cell>
          <cell r="D152" t="str">
            <v>Aerial</v>
          </cell>
          <cell r="E152" t="str">
            <v>1 x 20 kV</v>
          </cell>
          <cell r="F152" t="str">
            <v>3 phase(s)</v>
          </cell>
          <cell r="G152" t="str">
            <v>wire:OL-AL, 185 mm2</v>
          </cell>
          <cell r="H152" t="str">
            <v>Metal Pole</v>
          </cell>
          <cell r="I152">
            <v>21600</v>
          </cell>
          <cell r="J152">
            <v>40</v>
          </cell>
          <cell r="K152">
            <v>0.95</v>
          </cell>
          <cell r="L152">
            <v>9</v>
          </cell>
          <cell r="M152">
            <v>0.04</v>
          </cell>
          <cell r="N152">
            <v>5</v>
          </cell>
          <cell r="O152">
            <v>40000</v>
          </cell>
          <cell r="P152">
            <v>0.1</v>
          </cell>
          <cell r="Q152">
            <v>0.4</v>
          </cell>
        </row>
        <row r="153">
          <cell r="B153" t="str">
            <v>Electric LinesAerial1 x 20 kV3 phase(s)wire:OL-AL, 185 mm2Wood Pole</v>
          </cell>
          <cell r="C153" t="str">
            <v>Electric Lines</v>
          </cell>
          <cell r="D153" t="str">
            <v>Aerial</v>
          </cell>
          <cell r="E153" t="str">
            <v>1 x 20 kV</v>
          </cell>
          <cell r="F153" t="str">
            <v>3 phase(s)</v>
          </cell>
          <cell r="G153" t="str">
            <v>wire:OL-AL, 185 mm2</v>
          </cell>
          <cell r="H153" t="str">
            <v>Wood Pole</v>
          </cell>
          <cell r="I153">
            <v>13500</v>
          </cell>
          <cell r="J153">
            <v>35</v>
          </cell>
          <cell r="K153">
            <v>0.95</v>
          </cell>
          <cell r="L153">
            <v>8</v>
          </cell>
          <cell r="M153">
            <v>0.04</v>
          </cell>
          <cell r="N153">
            <v>5</v>
          </cell>
          <cell r="O153">
            <v>25000</v>
          </cell>
          <cell r="P153">
            <v>0.1</v>
          </cell>
          <cell r="Q153">
            <v>0.4</v>
          </cell>
        </row>
        <row r="154">
          <cell r="B154" t="str">
            <v>Electric LinesAerial1 x 20 kV3 phase(s)wire:OL-AL, 185 mm2Only the wire</v>
          </cell>
          <cell r="C154" t="str">
            <v>Electric Lines</v>
          </cell>
          <cell r="D154" t="str">
            <v>Aerial</v>
          </cell>
          <cell r="E154" t="str">
            <v>1 x 20 kV</v>
          </cell>
          <cell r="F154" t="str">
            <v>3 phase(s)</v>
          </cell>
          <cell r="G154" t="str">
            <v>wire:OL-AL, 185 mm2</v>
          </cell>
          <cell r="H154" t="str">
            <v>Only the wire</v>
          </cell>
          <cell r="I154">
            <v>5400</v>
          </cell>
          <cell r="J154">
            <v>25</v>
          </cell>
          <cell r="K154">
            <v>0.95</v>
          </cell>
          <cell r="L154">
            <v>5</v>
          </cell>
          <cell r="M154">
            <v>0.04</v>
          </cell>
          <cell r="N154">
            <v>5</v>
          </cell>
          <cell r="O154">
            <v>10000</v>
          </cell>
          <cell r="P154">
            <v>0.1</v>
          </cell>
          <cell r="Q154">
            <v>0.4</v>
          </cell>
        </row>
        <row r="155">
          <cell r="B155" t="str">
            <v>Electric LinesAerial1 x 20 kV3 phase(s)wire:OL-AL, 240 mm2Concrete Pole</v>
          </cell>
          <cell r="C155" t="str">
            <v>Electric Lines</v>
          </cell>
          <cell r="D155" t="str">
            <v>Aerial</v>
          </cell>
          <cell r="E155" t="str">
            <v>1 x 20 kV</v>
          </cell>
          <cell r="F155" t="str">
            <v>3 phase(s)</v>
          </cell>
          <cell r="G155" t="str">
            <v>wire:OL-AL, 240 mm2</v>
          </cell>
          <cell r="H155" t="str">
            <v>Concrete Pole</v>
          </cell>
          <cell r="I155">
            <v>17280</v>
          </cell>
          <cell r="J155">
            <v>40</v>
          </cell>
          <cell r="K155">
            <v>0.95</v>
          </cell>
          <cell r="L155">
            <v>9</v>
          </cell>
          <cell r="M155">
            <v>0.04</v>
          </cell>
          <cell r="N155">
            <v>5</v>
          </cell>
          <cell r="O155">
            <v>32000</v>
          </cell>
          <cell r="P155">
            <v>0.1</v>
          </cell>
          <cell r="Q155">
            <v>0.4</v>
          </cell>
        </row>
        <row r="156">
          <cell r="B156" t="str">
            <v>Electric LinesAerial1 x 20 kV3 phase(s)wire:OL-AL, 240 mm2Metal Pole</v>
          </cell>
          <cell r="C156" t="str">
            <v>Electric Lines</v>
          </cell>
          <cell r="D156" t="str">
            <v>Aerial</v>
          </cell>
          <cell r="E156" t="str">
            <v>1 x 20 kV</v>
          </cell>
          <cell r="F156" t="str">
            <v>3 phase(s)</v>
          </cell>
          <cell r="G156" t="str">
            <v>wire:OL-AL, 240 mm2</v>
          </cell>
          <cell r="H156" t="str">
            <v>Metal Pole</v>
          </cell>
          <cell r="I156">
            <v>22680</v>
          </cell>
          <cell r="J156">
            <v>40</v>
          </cell>
          <cell r="K156">
            <v>0.95</v>
          </cell>
          <cell r="L156">
            <v>9</v>
          </cell>
          <cell r="M156">
            <v>0.04</v>
          </cell>
          <cell r="N156">
            <v>5</v>
          </cell>
          <cell r="O156">
            <v>42000</v>
          </cell>
          <cell r="P156">
            <v>0.1</v>
          </cell>
          <cell r="Q156">
            <v>0.4</v>
          </cell>
        </row>
        <row r="157">
          <cell r="B157" t="str">
            <v>Electric LinesAerial1 x 20 kV3 phase(s)wire:OL-AL, 240 mm2Wood Pole</v>
          </cell>
          <cell r="C157" t="str">
            <v>Electric Lines</v>
          </cell>
          <cell r="D157" t="str">
            <v>Aerial</v>
          </cell>
          <cell r="E157" t="str">
            <v>1 x 20 kV</v>
          </cell>
          <cell r="F157" t="str">
            <v>3 phase(s)</v>
          </cell>
          <cell r="G157" t="str">
            <v>wire:OL-AL, 240 mm2</v>
          </cell>
          <cell r="H157" t="str">
            <v>Wood Pole</v>
          </cell>
          <cell r="I157">
            <v>14040</v>
          </cell>
          <cell r="J157">
            <v>35</v>
          </cell>
          <cell r="K157">
            <v>0.95</v>
          </cell>
          <cell r="L157">
            <v>8</v>
          </cell>
          <cell r="M157">
            <v>0.04</v>
          </cell>
          <cell r="N157">
            <v>5</v>
          </cell>
          <cell r="O157">
            <v>26000</v>
          </cell>
          <cell r="P157">
            <v>0.1</v>
          </cell>
          <cell r="Q157">
            <v>0.4</v>
          </cell>
        </row>
        <row r="158">
          <cell r="B158" t="str">
            <v>Electric LinesAerial1 x 20 kV3 phase(s)wire:OL-AL, 240 mm2Only the wire</v>
          </cell>
          <cell r="C158" t="str">
            <v>Electric Lines</v>
          </cell>
          <cell r="D158" t="str">
            <v>Aerial</v>
          </cell>
          <cell r="E158" t="str">
            <v>1 x 20 kV</v>
          </cell>
          <cell r="F158" t="str">
            <v>3 phase(s)</v>
          </cell>
          <cell r="G158" t="str">
            <v>wire:OL-AL, 240 mm2</v>
          </cell>
          <cell r="H158" t="str">
            <v>Only the wire</v>
          </cell>
          <cell r="I158">
            <v>5940</v>
          </cell>
          <cell r="J158">
            <v>25</v>
          </cell>
          <cell r="K158">
            <v>0.95</v>
          </cell>
          <cell r="L158">
            <v>5</v>
          </cell>
          <cell r="M158">
            <v>0.04</v>
          </cell>
          <cell r="N158">
            <v>5</v>
          </cell>
          <cell r="O158">
            <v>11000</v>
          </cell>
          <cell r="P158">
            <v>0.1</v>
          </cell>
          <cell r="Q158">
            <v>0.4</v>
          </cell>
        </row>
        <row r="159">
          <cell r="B159" t="str">
            <v>Electric LinesAerial1 x 6 kV3 phase(s)wire:OL-AL, 240 mm2Concrete Pole</v>
          </cell>
          <cell r="C159" t="str">
            <v>Electric Lines</v>
          </cell>
          <cell r="D159" t="str">
            <v>Aerial</v>
          </cell>
          <cell r="E159" t="str">
            <v>1 x 6 kV</v>
          </cell>
          <cell r="F159" t="str">
            <v>3 phase(s)</v>
          </cell>
          <cell r="G159" t="str">
            <v>wire:OL-AL, 240 mm2</v>
          </cell>
          <cell r="H159" t="str">
            <v>Concrete Pole</v>
          </cell>
          <cell r="I159">
            <v>17280</v>
          </cell>
          <cell r="J159">
            <v>40</v>
          </cell>
          <cell r="K159">
            <v>0.95</v>
          </cell>
          <cell r="L159">
            <v>9</v>
          </cell>
          <cell r="M159">
            <v>0.04</v>
          </cell>
          <cell r="N159">
            <v>5</v>
          </cell>
          <cell r="O159">
            <v>32000</v>
          </cell>
          <cell r="P159">
            <v>0.1</v>
          </cell>
          <cell r="Q159">
            <v>0.4</v>
          </cell>
        </row>
        <row r="160">
          <cell r="B160" t="str">
            <v>Electric LinesAerial1 x 6 kV3 phase(s)wire:OL-AL, 240 mm2Metal Pole</v>
          </cell>
          <cell r="C160" t="str">
            <v>Electric Lines</v>
          </cell>
          <cell r="D160" t="str">
            <v>Aerial</v>
          </cell>
          <cell r="E160" t="str">
            <v>1 x 6 kV</v>
          </cell>
          <cell r="F160" t="str">
            <v>3 phase(s)</v>
          </cell>
          <cell r="G160" t="str">
            <v>wire:OL-AL, 240 mm2</v>
          </cell>
          <cell r="H160" t="str">
            <v>Metal Pole</v>
          </cell>
          <cell r="I160">
            <v>22680</v>
          </cell>
          <cell r="J160">
            <v>40</v>
          </cell>
          <cell r="K160">
            <v>0.95</v>
          </cell>
          <cell r="L160">
            <v>9</v>
          </cell>
          <cell r="M160">
            <v>0.04</v>
          </cell>
          <cell r="N160">
            <v>5</v>
          </cell>
          <cell r="O160">
            <v>42000</v>
          </cell>
          <cell r="P160">
            <v>0.1</v>
          </cell>
          <cell r="Q160">
            <v>0.4</v>
          </cell>
        </row>
        <row r="161">
          <cell r="B161" t="str">
            <v>Electric LinesAerial1 x 6 kV3 phase(s)wire:OL-AL, 240 mm2Wood Pole</v>
          </cell>
          <cell r="C161" t="str">
            <v>Electric Lines</v>
          </cell>
          <cell r="D161" t="str">
            <v>Aerial</v>
          </cell>
          <cell r="E161" t="str">
            <v>1 x 6 kV</v>
          </cell>
          <cell r="F161" t="str">
            <v>3 phase(s)</v>
          </cell>
          <cell r="G161" t="str">
            <v>wire:OL-AL, 240 mm2</v>
          </cell>
          <cell r="H161" t="str">
            <v>Wood Pole</v>
          </cell>
          <cell r="I161">
            <v>14040</v>
          </cell>
          <cell r="J161">
            <v>35</v>
          </cell>
          <cell r="K161">
            <v>0.95</v>
          </cell>
          <cell r="L161">
            <v>8</v>
          </cell>
          <cell r="M161">
            <v>0.04</v>
          </cell>
          <cell r="N161">
            <v>5</v>
          </cell>
          <cell r="O161">
            <v>26000</v>
          </cell>
          <cell r="P161">
            <v>0.1</v>
          </cell>
          <cell r="Q161">
            <v>0.4</v>
          </cell>
        </row>
        <row r="162">
          <cell r="B162" t="str">
            <v>Electric LinesAerial1 x 6 kV3 phase(s)wire:OL-AL, 240 mm2Only the wire</v>
          </cell>
          <cell r="C162" t="str">
            <v>Electric Lines</v>
          </cell>
          <cell r="D162" t="str">
            <v>Aerial</v>
          </cell>
          <cell r="E162" t="str">
            <v>1 x 6 kV</v>
          </cell>
          <cell r="F162" t="str">
            <v>3 phase(s)</v>
          </cell>
          <cell r="G162" t="str">
            <v>wire:OL-AL, 240 mm2</v>
          </cell>
          <cell r="H162" t="str">
            <v>Only the wire</v>
          </cell>
          <cell r="I162">
            <v>5940</v>
          </cell>
          <cell r="J162">
            <v>25</v>
          </cell>
          <cell r="K162">
            <v>0.95</v>
          </cell>
          <cell r="L162">
            <v>5</v>
          </cell>
          <cell r="M162">
            <v>0.04</v>
          </cell>
          <cell r="N162">
            <v>5</v>
          </cell>
          <cell r="O162">
            <v>11000</v>
          </cell>
          <cell r="P162">
            <v>0.1</v>
          </cell>
          <cell r="Q162">
            <v>0.4</v>
          </cell>
        </row>
        <row r="163">
          <cell r="B163" t="str">
            <v>Electric LinesAerial2 x 110 kV2 phase(s)wire:OL-AL, 185 mm2Concrete Pole</v>
          </cell>
          <cell r="C163" t="str">
            <v>Electric Lines</v>
          </cell>
          <cell r="D163" t="str">
            <v>Aerial</v>
          </cell>
          <cell r="E163" t="str">
            <v>2 x 110 kV</v>
          </cell>
          <cell r="F163" t="str">
            <v>2 phase(s)</v>
          </cell>
          <cell r="G163" t="str">
            <v>wire:OL-AL, 185 mm2</v>
          </cell>
          <cell r="H163" t="str">
            <v>Concrete Pole</v>
          </cell>
          <cell r="I163">
            <v>68850</v>
          </cell>
          <cell r="J163">
            <v>40</v>
          </cell>
          <cell r="K163">
            <v>0.95</v>
          </cell>
          <cell r="L163">
            <v>9</v>
          </cell>
          <cell r="M163">
            <v>0.04</v>
          </cell>
          <cell r="N163">
            <v>5</v>
          </cell>
          <cell r="O163">
            <v>102000</v>
          </cell>
          <cell r="P163">
            <v>0.1</v>
          </cell>
          <cell r="Q163">
            <v>0.25</v>
          </cell>
        </row>
        <row r="164">
          <cell r="B164" t="str">
            <v>Electric LinesAerial2 x 110 kV2 phase(s)wire:OL-AL, 185 mm2Metal Pole</v>
          </cell>
          <cell r="C164" t="str">
            <v>Electric Lines</v>
          </cell>
          <cell r="D164" t="str">
            <v>Aerial</v>
          </cell>
          <cell r="E164" t="str">
            <v>2 x 110 kV</v>
          </cell>
          <cell r="F164" t="str">
            <v>2 phase(s)</v>
          </cell>
          <cell r="G164" t="str">
            <v>wire:OL-AL, 185 mm2</v>
          </cell>
          <cell r="H164" t="str">
            <v>Metal Pole</v>
          </cell>
          <cell r="I164">
            <v>98550</v>
          </cell>
          <cell r="J164">
            <v>40</v>
          </cell>
          <cell r="K164">
            <v>0.95</v>
          </cell>
          <cell r="L164">
            <v>9</v>
          </cell>
          <cell r="M164">
            <v>0.04</v>
          </cell>
          <cell r="N164">
            <v>5</v>
          </cell>
          <cell r="O164">
            <v>146000</v>
          </cell>
          <cell r="P164">
            <v>0.1</v>
          </cell>
          <cell r="Q164">
            <v>0.25</v>
          </cell>
        </row>
        <row r="165">
          <cell r="B165" t="str">
            <v>Electric LinesAerial2 x 110 kV2 phase(s)wire:OL-AL, 185 mm2Wood Pole</v>
          </cell>
          <cell r="C165" t="str">
            <v>Electric Lines</v>
          </cell>
          <cell r="D165" t="str">
            <v>Aerial</v>
          </cell>
          <cell r="E165" t="str">
            <v>2 x 110 kV</v>
          </cell>
          <cell r="F165" t="str">
            <v>2 phase(s)</v>
          </cell>
          <cell r="G165" t="str">
            <v>wire:OL-AL, 185 mm2</v>
          </cell>
          <cell r="H165" t="str">
            <v>Wood Pole</v>
          </cell>
          <cell r="I165">
            <v>64125</v>
          </cell>
          <cell r="J165">
            <v>35</v>
          </cell>
          <cell r="K165">
            <v>0.95</v>
          </cell>
          <cell r="L165">
            <v>8</v>
          </cell>
          <cell r="M165">
            <v>0.04</v>
          </cell>
          <cell r="N165">
            <v>5</v>
          </cell>
          <cell r="O165">
            <v>95000</v>
          </cell>
          <cell r="P165">
            <v>0.1</v>
          </cell>
          <cell r="Q165">
            <v>0.25</v>
          </cell>
        </row>
        <row r="166">
          <cell r="B166" t="str">
            <v>Electric LinesAerial2 x 110 kV2 phase(s)wire:OL-AL, 185 mm2Only the wire</v>
          </cell>
          <cell r="C166" t="str">
            <v>Electric Lines</v>
          </cell>
          <cell r="D166" t="str">
            <v>Aerial</v>
          </cell>
          <cell r="E166" t="str">
            <v>2 x 110 kV</v>
          </cell>
          <cell r="F166" t="str">
            <v>2 phase(s)</v>
          </cell>
          <cell r="G166" t="str">
            <v>wire:OL-AL, 185 mm2</v>
          </cell>
          <cell r="H166" t="str">
            <v>Only the wire</v>
          </cell>
          <cell r="I166">
            <v>49275</v>
          </cell>
          <cell r="J166">
            <v>25</v>
          </cell>
          <cell r="K166">
            <v>0.95</v>
          </cell>
          <cell r="L166">
            <v>5</v>
          </cell>
          <cell r="M166">
            <v>0.04</v>
          </cell>
          <cell r="N166">
            <v>5</v>
          </cell>
          <cell r="O166">
            <v>73000</v>
          </cell>
          <cell r="P166">
            <v>0.1</v>
          </cell>
          <cell r="Q166">
            <v>0.25</v>
          </cell>
        </row>
        <row r="167">
          <cell r="B167" t="str">
            <v>Electric LinesAerial2 x 110 kV3 phase(s)wire:OL-AL, 150 mm2Concrete Pole</v>
          </cell>
          <cell r="C167" t="str">
            <v>Electric Lines</v>
          </cell>
          <cell r="D167" t="str">
            <v>Aerial</v>
          </cell>
          <cell r="E167" t="str">
            <v>2 x 110 kV</v>
          </cell>
          <cell r="F167" t="str">
            <v>3 phase(s)</v>
          </cell>
          <cell r="G167" t="str">
            <v>wire:OL-AL, 150 mm2</v>
          </cell>
          <cell r="H167" t="str">
            <v>Concrete Pole</v>
          </cell>
          <cell r="I167">
            <v>68850</v>
          </cell>
          <cell r="J167">
            <v>40</v>
          </cell>
          <cell r="K167">
            <v>0.95</v>
          </cell>
          <cell r="L167">
            <v>9</v>
          </cell>
          <cell r="M167">
            <v>0.04</v>
          </cell>
          <cell r="N167">
            <v>5</v>
          </cell>
          <cell r="O167">
            <v>102000</v>
          </cell>
          <cell r="P167">
            <v>0.1</v>
          </cell>
          <cell r="Q167">
            <v>0.25</v>
          </cell>
        </row>
        <row r="168">
          <cell r="B168" t="str">
            <v>Electric LinesAerial2 x 110 kV3 phase(s)wire:OL-AL, 150 mm2Metal Pole</v>
          </cell>
          <cell r="C168" t="str">
            <v>Electric Lines</v>
          </cell>
          <cell r="D168" t="str">
            <v>Aerial</v>
          </cell>
          <cell r="E168" t="str">
            <v>2 x 110 kV</v>
          </cell>
          <cell r="F168" t="str">
            <v>3 phase(s)</v>
          </cell>
          <cell r="G168" t="str">
            <v>wire:OL-AL, 150 mm2</v>
          </cell>
          <cell r="H168" t="str">
            <v>Metal Pole</v>
          </cell>
          <cell r="I168">
            <v>98550</v>
          </cell>
          <cell r="J168">
            <v>40</v>
          </cell>
          <cell r="K168">
            <v>0.95</v>
          </cell>
          <cell r="L168">
            <v>9</v>
          </cell>
          <cell r="M168">
            <v>0.04</v>
          </cell>
          <cell r="N168">
            <v>5</v>
          </cell>
          <cell r="O168">
            <v>146000</v>
          </cell>
          <cell r="P168">
            <v>0.1</v>
          </cell>
          <cell r="Q168">
            <v>0.25</v>
          </cell>
        </row>
        <row r="169">
          <cell r="B169" t="str">
            <v>Electric LinesAerial2 x 110 kV3 phase(s)wire:OL-AL, 150 mm2Wood Pole</v>
          </cell>
          <cell r="C169" t="str">
            <v>Electric Lines</v>
          </cell>
          <cell r="D169" t="str">
            <v>Aerial</v>
          </cell>
          <cell r="E169" t="str">
            <v>2 x 110 kV</v>
          </cell>
          <cell r="F169" t="str">
            <v>3 phase(s)</v>
          </cell>
          <cell r="G169" t="str">
            <v>wire:OL-AL, 150 mm2</v>
          </cell>
          <cell r="H169" t="str">
            <v>Wood Pole</v>
          </cell>
          <cell r="I169">
            <v>64125</v>
          </cell>
          <cell r="J169">
            <v>35</v>
          </cell>
          <cell r="K169">
            <v>0.95</v>
          </cell>
          <cell r="L169">
            <v>8</v>
          </cell>
          <cell r="M169">
            <v>0.04</v>
          </cell>
          <cell r="N169">
            <v>5</v>
          </cell>
          <cell r="O169">
            <v>95000</v>
          </cell>
          <cell r="P169">
            <v>0.1</v>
          </cell>
          <cell r="Q169">
            <v>0.25</v>
          </cell>
        </row>
        <row r="170">
          <cell r="B170" t="str">
            <v>Electric LinesAerial2 x 110 kV3 phase(s)wire:OL-AL, 150 mm2Only the wire</v>
          </cell>
          <cell r="C170" t="str">
            <v>Electric Lines</v>
          </cell>
          <cell r="D170" t="str">
            <v>Aerial</v>
          </cell>
          <cell r="E170" t="str">
            <v>2 x 110 kV</v>
          </cell>
          <cell r="F170" t="str">
            <v>3 phase(s)</v>
          </cell>
          <cell r="G170" t="str">
            <v>wire:OL-AL, 150 mm2</v>
          </cell>
          <cell r="H170" t="str">
            <v>Only the wire</v>
          </cell>
          <cell r="I170">
            <v>49275</v>
          </cell>
          <cell r="J170">
            <v>25</v>
          </cell>
          <cell r="K170">
            <v>0.95</v>
          </cell>
          <cell r="L170">
            <v>5</v>
          </cell>
          <cell r="M170">
            <v>0.04</v>
          </cell>
          <cell r="N170">
            <v>5</v>
          </cell>
          <cell r="O170">
            <v>73000</v>
          </cell>
          <cell r="P170">
            <v>0.1</v>
          </cell>
          <cell r="Q170">
            <v>0.25</v>
          </cell>
        </row>
        <row r="171">
          <cell r="B171" t="str">
            <v>Electric LinesAerial2 x 110 kV3 phase(s)wire:OL-AL, 185 mm2Concrete Pole</v>
          </cell>
          <cell r="C171" t="str">
            <v>Electric Lines</v>
          </cell>
          <cell r="D171" t="str">
            <v>Aerial</v>
          </cell>
          <cell r="E171" t="str">
            <v>2 x 110 kV</v>
          </cell>
          <cell r="F171" t="str">
            <v>3 phase(s)</v>
          </cell>
          <cell r="G171" t="str">
            <v>wire:OL-AL, 185 mm2</v>
          </cell>
          <cell r="H171" t="str">
            <v>Concrete Pole</v>
          </cell>
          <cell r="I171">
            <v>72225</v>
          </cell>
          <cell r="J171">
            <v>40</v>
          </cell>
          <cell r="K171">
            <v>0.95</v>
          </cell>
          <cell r="L171">
            <v>9</v>
          </cell>
          <cell r="M171">
            <v>0.04</v>
          </cell>
          <cell r="N171">
            <v>5</v>
          </cell>
          <cell r="O171">
            <v>107000</v>
          </cell>
          <cell r="P171">
            <v>0.1</v>
          </cell>
          <cell r="Q171">
            <v>0.25</v>
          </cell>
        </row>
        <row r="172">
          <cell r="B172" t="str">
            <v>Electric LinesAerial2 x 110 kV3 phase(s)wire:OL-AL, 185 mm2Metal Pole</v>
          </cell>
          <cell r="C172" t="str">
            <v>Electric Lines</v>
          </cell>
          <cell r="D172" t="str">
            <v>Aerial</v>
          </cell>
          <cell r="E172" t="str">
            <v>2 x 110 kV</v>
          </cell>
          <cell r="F172" t="str">
            <v>3 phase(s)</v>
          </cell>
          <cell r="G172" t="str">
            <v>wire:OL-AL, 185 mm2</v>
          </cell>
          <cell r="H172" t="str">
            <v>Metal Pole</v>
          </cell>
          <cell r="I172">
            <v>103275</v>
          </cell>
          <cell r="J172">
            <v>40</v>
          </cell>
          <cell r="K172">
            <v>0.95</v>
          </cell>
          <cell r="L172">
            <v>9</v>
          </cell>
          <cell r="M172">
            <v>0.04</v>
          </cell>
          <cell r="N172">
            <v>5</v>
          </cell>
          <cell r="O172">
            <v>153000</v>
          </cell>
          <cell r="P172">
            <v>0.1</v>
          </cell>
          <cell r="Q172">
            <v>0.25</v>
          </cell>
        </row>
        <row r="173">
          <cell r="B173" t="str">
            <v>Electric LinesAerial2 x 110 kV3 phase(s)wire:OL-AL, 185 mm2Wood Pole</v>
          </cell>
          <cell r="C173" t="str">
            <v>Electric Lines</v>
          </cell>
          <cell r="D173" t="str">
            <v>Aerial</v>
          </cell>
          <cell r="E173" t="str">
            <v>2 x 110 kV</v>
          </cell>
          <cell r="F173" t="str">
            <v>3 phase(s)</v>
          </cell>
          <cell r="G173" t="str">
            <v>wire:OL-AL, 185 mm2</v>
          </cell>
          <cell r="H173" t="str">
            <v>Wood Pole</v>
          </cell>
          <cell r="I173">
            <v>67500</v>
          </cell>
          <cell r="J173">
            <v>35</v>
          </cell>
          <cell r="K173">
            <v>0.95</v>
          </cell>
          <cell r="L173">
            <v>8</v>
          </cell>
          <cell r="M173">
            <v>0.04</v>
          </cell>
          <cell r="N173">
            <v>5</v>
          </cell>
          <cell r="O173">
            <v>100000</v>
          </cell>
          <cell r="P173">
            <v>0.1</v>
          </cell>
          <cell r="Q173">
            <v>0.25</v>
          </cell>
        </row>
        <row r="174">
          <cell r="B174" t="str">
            <v>Electric LinesAerial2 x 110 kV3 phase(s)wire:OL-AL, 185 mm2Only the wire</v>
          </cell>
          <cell r="C174" t="str">
            <v>Electric Lines</v>
          </cell>
          <cell r="D174" t="str">
            <v>Aerial</v>
          </cell>
          <cell r="E174" t="str">
            <v>2 x 110 kV</v>
          </cell>
          <cell r="F174" t="str">
            <v>3 phase(s)</v>
          </cell>
          <cell r="G174" t="str">
            <v>wire:OL-AL, 185 mm2</v>
          </cell>
          <cell r="H174" t="str">
            <v>Only the wire</v>
          </cell>
          <cell r="I174">
            <v>51300</v>
          </cell>
          <cell r="J174">
            <v>25</v>
          </cell>
          <cell r="K174">
            <v>0.95</v>
          </cell>
          <cell r="L174">
            <v>5</v>
          </cell>
          <cell r="M174">
            <v>0.04</v>
          </cell>
          <cell r="N174">
            <v>5</v>
          </cell>
          <cell r="O174">
            <v>76000</v>
          </cell>
          <cell r="P174">
            <v>0.1</v>
          </cell>
          <cell r="Q174">
            <v>0.25</v>
          </cell>
        </row>
        <row r="175">
          <cell r="B175" t="str">
            <v>Electric LinesAerial2 x 110 kV3 phase(s)wire:OL-AL, 240 mm2Concrete Pole</v>
          </cell>
          <cell r="C175" t="str">
            <v>Electric Lines</v>
          </cell>
          <cell r="D175" t="str">
            <v>Aerial</v>
          </cell>
          <cell r="E175" t="str">
            <v>2 x 110 kV</v>
          </cell>
          <cell r="F175" t="str">
            <v>3 phase(s)</v>
          </cell>
          <cell r="G175" t="str">
            <v>wire:OL-AL, 240 mm2</v>
          </cell>
          <cell r="H175" t="str">
            <v>Concrete Pole</v>
          </cell>
          <cell r="I175">
            <v>75600</v>
          </cell>
          <cell r="J175">
            <v>40</v>
          </cell>
          <cell r="K175">
            <v>0.95</v>
          </cell>
          <cell r="L175">
            <v>9</v>
          </cell>
          <cell r="M175">
            <v>0.04</v>
          </cell>
          <cell r="N175">
            <v>5</v>
          </cell>
          <cell r="O175">
            <v>112000</v>
          </cell>
          <cell r="P175">
            <v>0.1</v>
          </cell>
          <cell r="Q175">
            <v>0.25</v>
          </cell>
        </row>
        <row r="176">
          <cell r="B176" t="str">
            <v>Electric LinesAerial2 x 110 kV3 phase(s)wire:OL-AL, 240 mm2Metal Pole</v>
          </cell>
          <cell r="C176" t="str">
            <v>Electric Lines</v>
          </cell>
          <cell r="D176" t="str">
            <v>Aerial</v>
          </cell>
          <cell r="E176" t="str">
            <v>2 x 110 kV</v>
          </cell>
          <cell r="F176" t="str">
            <v>3 phase(s)</v>
          </cell>
          <cell r="G176" t="str">
            <v>wire:OL-AL, 240 mm2</v>
          </cell>
          <cell r="H176" t="str">
            <v>Metal Pole</v>
          </cell>
          <cell r="I176">
            <v>108000</v>
          </cell>
          <cell r="J176">
            <v>40</v>
          </cell>
          <cell r="K176">
            <v>0.95</v>
          </cell>
          <cell r="L176">
            <v>9</v>
          </cell>
          <cell r="M176">
            <v>0.04</v>
          </cell>
          <cell r="N176">
            <v>5</v>
          </cell>
          <cell r="O176">
            <v>160000</v>
          </cell>
          <cell r="P176">
            <v>0.1</v>
          </cell>
          <cell r="Q176">
            <v>0.25</v>
          </cell>
        </row>
        <row r="177">
          <cell r="B177" t="str">
            <v>Electric LinesAerial2 x 110 kV3 phase(s)wire:OL-AL, 240 mm2Wood Pole</v>
          </cell>
          <cell r="C177" t="str">
            <v>Electric Lines</v>
          </cell>
          <cell r="D177" t="str">
            <v>Aerial</v>
          </cell>
          <cell r="E177" t="str">
            <v>2 x 110 kV</v>
          </cell>
          <cell r="F177" t="str">
            <v>3 phase(s)</v>
          </cell>
          <cell r="G177" t="str">
            <v>wire:OL-AL, 240 mm2</v>
          </cell>
          <cell r="H177" t="str">
            <v>Wood Pole</v>
          </cell>
          <cell r="I177">
            <v>70875</v>
          </cell>
          <cell r="J177">
            <v>35</v>
          </cell>
          <cell r="K177">
            <v>0.95</v>
          </cell>
          <cell r="L177">
            <v>8</v>
          </cell>
          <cell r="M177">
            <v>0.04</v>
          </cell>
          <cell r="N177">
            <v>5</v>
          </cell>
          <cell r="O177">
            <v>105000</v>
          </cell>
          <cell r="P177">
            <v>0.1</v>
          </cell>
          <cell r="Q177">
            <v>0.25</v>
          </cell>
        </row>
        <row r="178">
          <cell r="B178" t="str">
            <v>Electric LinesAerial2 x 110 kV3 phase(s)wire:OL-AL, 240 mm2Only the wire</v>
          </cell>
          <cell r="C178" t="str">
            <v>Electric Lines</v>
          </cell>
          <cell r="D178" t="str">
            <v>Aerial</v>
          </cell>
          <cell r="E178" t="str">
            <v>2 x 110 kV</v>
          </cell>
          <cell r="F178" t="str">
            <v>3 phase(s)</v>
          </cell>
          <cell r="G178" t="str">
            <v>wire:OL-AL, 240 mm2</v>
          </cell>
          <cell r="H178" t="str">
            <v>Only the wire</v>
          </cell>
          <cell r="I178">
            <v>54000</v>
          </cell>
          <cell r="J178">
            <v>25</v>
          </cell>
          <cell r="K178">
            <v>0.95</v>
          </cell>
          <cell r="L178">
            <v>5</v>
          </cell>
          <cell r="M178">
            <v>0.04</v>
          </cell>
          <cell r="N178">
            <v>5</v>
          </cell>
          <cell r="O178">
            <v>80000</v>
          </cell>
          <cell r="P178">
            <v>0.1</v>
          </cell>
          <cell r="Q178">
            <v>0.25</v>
          </cell>
        </row>
        <row r="179">
          <cell r="B179" t="str">
            <v>Electric LinesAerial2 x 20 kV3 phase(s)wire:OL-AL, 185 mm2Concrete Pole</v>
          </cell>
          <cell r="C179" t="str">
            <v>Electric Lines</v>
          </cell>
          <cell r="D179" t="str">
            <v>Aerial</v>
          </cell>
          <cell r="E179" t="str">
            <v>2 x 20 kV</v>
          </cell>
          <cell r="F179" t="str">
            <v>3 phase(s)</v>
          </cell>
          <cell r="G179" t="str">
            <v>wire:OL-AL, 185 mm2</v>
          </cell>
          <cell r="H179" t="str">
            <v>Concrete Pole</v>
          </cell>
          <cell r="I179">
            <v>19980</v>
          </cell>
          <cell r="J179">
            <v>40</v>
          </cell>
          <cell r="K179">
            <v>0.95</v>
          </cell>
          <cell r="L179">
            <v>9</v>
          </cell>
          <cell r="M179">
            <v>0.04</v>
          </cell>
          <cell r="N179">
            <v>5</v>
          </cell>
          <cell r="O179">
            <v>37000</v>
          </cell>
          <cell r="P179">
            <v>0.1</v>
          </cell>
          <cell r="Q179">
            <v>0.4</v>
          </cell>
        </row>
        <row r="180">
          <cell r="B180" t="str">
            <v>Electric LinesAerial2 x 20 kV3 phase(s)wire:OL-AL, 185 mm2Metal Pole</v>
          </cell>
          <cell r="C180" t="str">
            <v>Electric Lines</v>
          </cell>
          <cell r="D180" t="str">
            <v>Aerial</v>
          </cell>
          <cell r="E180" t="str">
            <v>2 x 20 kV</v>
          </cell>
          <cell r="F180" t="str">
            <v>3 phase(s)</v>
          </cell>
          <cell r="G180" t="str">
            <v>wire:OL-AL, 185 mm2</v>
          </cell>
          <cell r="H180" t="str">
            <v>Metal Pole</v>
          </cell>
          <cell r="I180">
            <v>28620</v>
          </cell>
          <cell r="J180">
            <v>40</v>
          </cell>
          <cell r="K180">
            <v>0.95</v>
          </cell>
          <cell r="L180">
            <v>9</v>
          </cell>
          <cell r="M180">
            <v>0.04</v>
          </cell>
          <cell r="N180">
            <v>5</v>
          </cell>
          <cell r="O180">
            <v>53000</v>
          </cell>
          <cell r="P180">
            <v>0.1</v>
          </cell>
          <cell r="Q180">
            <v>0.4</v>
          </cell>
        </row>
        <row r="181">
          <cell r="B181" t="str">
            <v>Electric LinesAerial2 x 20 kV3 phase(s)wire:OL-AL, 185 mm2Wood Pole</v>
          </cell>
          <cell r="C181" t="str">
            <v>Electric Lines</v>
          </cell>
          <cell r="D181" t="str">
            <v>Aerial</v>
          </cell>
          <cell r="E181" t="str">
            <v>2 x 20 kV</v>
          </cell>
          <cell r="F181" t="str">
            <v>3 phase(s)</v>
          </cell>
          <cell r="G181" t="str">
            <v>wire:OL-AL, 185 mm2</v>
          </cell>
          <cell r="H181" t="str">
            <v>Wood Pole</v>
          </cell>
          <cell r="I181">
            <v>18900</v>
          </cell>
          <cell r="J181">
            <v>35</v>
          </cell>
          <cell r="K181">
            <v>0.95</v>
          </cell>
          <cell r="L181">
            <v>8</v>
          </cell>
          <cell r="M181">
            <v>0.04</v>
          </cell>
          <cell r="N181">
            <v>5</v>
          </cell>
          <cell r="O181">
            <v>35000</v>
          </cell>
          <cell r="P181">
            <v>0.1</v>
          </cell>
          <cell r="Q181">
            <v>0.4</v>
          </cell>
        </row>
        <row r="182">
          <cell r="B182" t="str">
            <v>Electric LinesAerial2 x 20 kV3 phase(s)wire:OL-AL, 185 mm2Only the wire</v>
          </cell>
          <cell r="C182" t="str">
            <v>Electric Lines</v>
          </cell>
          <cell r="D182" t="str">
            <v>Aerial</v>
          </cell>
          <cell r="E182" t="str">
            <v>2 x 20 kV</v>
          </cell>
          <cell r="F182" t="str">
            <v>3 phase(s)</v>
          </cell>
          <cell r="G182" t="str">
            <v>wire:OL-AL, 185 mm2</v>
          </cell>
          <cell r="H182" t="str">
            <v>Only the wire</v>
          </cell>
          <cell r="I182">
            <v>10800</v>
          </cell>
          <cell r="J182">
            <v>25</v>
          </cell>
          <cell r="K182">
            <v>0.95</v>
          </cell>
          <cell r="L182">
            <v>5</v>
          </cell>
          <cell r="M182">
            <v>0.04</v>
          </cell>
          <cell r="N182">
            <v>5</v>
          </cell>
          <cell r="O182">
            <v>20000</v>
          </cell>
          <cell r="P182">
            <v>0.1</v>
          </cell>
          <cell r="Q182">
            <v>0.4</v>
          </cell>
        </row>
        <row r="183">
          <cell r="B183" t="str">
            <v>Electric LinesAerial1 x 6 kV3 phase(s)wire:OL-AL, 25 mm2Concrete Pole</v>
          </cell>
          <cell r="C183" t="str">
            <v>Electric Lines</v>
          </cell>
          <cell r="D183" t="str">
            <v>Aerial</v>
          </cell>
          <cell r="E183" t="str">
            <v>1 x 6 kV</v>
          </cell>
          <cell r="F183" t="str">
            <v>3 phase(s)</v>
          </cell>
          <cell r="G183" t="str">
            <v>wire:OL-AL, 25 mm2</v>
          </cell>
          <cell r="H183" t="str">
            <v>Concrete Pole</v>
          </cell>
          <cell r="I183">
            <v>12420</v>
          </cell>
          <cell r="J183">
            <v>30</v>
          </cell>
          <cell r="K183">
            <v>0.95</v>
          </cell>
          <cell r="L183">
            <v>7</v>
          </cell>
          <cell r="M183">
            <v>0.04</v>
          </cell>
          <cell r="N183">
            <v>5</v>
          </cell>
          <cell r="O183">
            <v>23000</v>
          </cell>
          <cell r="P183">
            <v>0.1</v>
          </cell>
          <cell r="Q183">
            <v>0.4</v>
          </cell>
        </row>
        <row r="184">
          <cell r="B184" t="str">
            <v>Electric LinesAerial1 x 6 kV3 phase(s)wire:OL-AL, 25 mm2Metal Pole</v>
          </cell>
          <cell r="C184" t="str">
            <v>Electric Lines</v>
          </cell>
          <cell r="D184" t="str">
            <v>Aerial</v>
          </cell>
          <cell r="E184" t="str">
            <v>1 x 6 kV</v>
          </cell>
          <cell r="F184" t="str">
            <v>3 phase(s)</v>
          </cell>
          <cell r="G184" t="str">
            <v>wire:OL-AL, 25 mm2</v>
          </cell>
          <cell r="H184" t="str">
            <v>Metal Pole</v>
          </cell>
          <cell r="I184">
            <v>17280</v>
          </cell>
          <cell r="J184">
            <v>30</v>
          </cell>
          <cell r="K184">
            <v>0.95</v>
          </cell>
          <cell r="L184">
            <v>7</v>
          </cell>
          <cell r="M184">
            <v>0.04</v>
          </cell>
          <cell r="N184">
            <v>5</v>
          </cell>
          <cell r="O184">
            <v>32000</v>
          </cell>
          <cell r="P184">
            <v>0.1</v>
          </cell>
          <cell r="Q184">
            <v>0.4</v>
          </cell>
        </row>
        <row r="185">
          <cell r="B185" t="str">
            <v>Electric LinesAerial1 x 6 kV3 phase(s)wire:OL-AL, 25 mm2Wood Pole</v>
          </cell>
          <cell r="C185" t="str">
            <v>Electric Lines</v>
          </cell>
          <cell r="D185" t="str">
            <v>Aerial</v>
          </cell>
          <cell r="E185" t="str">
            <v>1 x 6 kV</v>
          </cell>
          <cell r="F185" t="str">
            <v>3 phase(s)</v>
          </cell>
          <cell r="G185" t="str">
            <v>wire:OL-AL, 25 mm2</v>
          </cell>
          <cell r="H185" t="str">
            <v>Wood Pole</v>
          </cell>
          <cell r="I185">
            <v>10800</v>
          </cell>
          <cell r="J185">
            <v>30</v>
          </cell>
          <cell r="K185">
            <v>0.95</v>
          </cell>
          <cell r="L185">
            <v>7</v>
          </cell>
          <cell r="M185">
            <v>0.04</v>
          </cell>
          <cell r="N185">
            <v>5</v>
          </cell>
          <cell r="O185">
            <v>20000</v>
          </cell>
          <cell r="P185">
            <v>0.1</v>
          </cell>
          <cell r="Q185">
            <v>0.4</v>
          </cell>
        </row>
        <row r="186">
          <cell r="B186" t="str">
            <v>Electric LinesAerial1 x 6 kV3 phase(s)wire:OL-AL, 25 mm2Only the wire</v>
          </cell>
          <cell r="C186" t="str">
            <v>Electric Lines</v>
          </cell>
          <cell r="D186" t="str">
            <v>Aerial</v>
          </cell>
          <cell r="E186" t="str">
            <v>1 x 6 kV</v>
          </cell>
          <cell r="F186" t="str">
            <v>3 phase(s)</v>
          </cell>
          <cell r="G186" t="str">
            <v>wire:OL-AL, 25 mm2</v>
          </cell>
          <cell r="H186" t="str">
            <v>Only the wire</v>
          </cell>
          <cell r="I186">
            <v>3780</v>
          </cell>
          <cell r="J186">
            <v>25</v>
          </cell>
          <cell r="K186">
            <v>0.95</v>
          </cell>
          <cell r="L186">
            <v>5</v>
          </cell>
          <cell r="M186">
            <v>0.04</v>
          </cell>
          <cell r="N186">
            <v>5</v>
          </cell>
          <cell r="O186">
            <v>7000</v>
          </cell>
          <cell r="P186">
            <v>0.1</v>
          </cell>
          <cell r="Q186">
            <v>0.4</v>
          </cell>
        </row>
        <row r="187">
          <cell r="B187" t="str">
            <v>Electric LinesAerial1 x 6 kV3 phase(s)wire:OL-AL, 50 mm2Concrete Pole</v>
          </cell>
          <cell r="C187" t="str">
            <v>Electric Lines</v>
          </cell>
          <cell r="D187" t="str">
            <v>Aerial</v>
          </cell>
          <cell r="E187" t="str">
            <v>1 x 6 kV</v>
          </cell>
          <cell r="F187" t="str">
            <v>3 phase(s)</v>
          </cell>
          <cell r="G187" t="str">
            <v>wire:OL-AL, 50 mm2</v>
          </cell>
          <cell r="H187" t="str">
            <v>Concrete Pole</v>
          </cell>
          <cell r="I187">
            <v>14040</v>
          </cell>
          <cell r="J187">
            <v>30</v>
          </cell>
          <cell r="K187">
            <v>0.95</v>
          </cell>
          <cell r="L187">
            <v>7</v>
          </cell>
          <cell r="M187">
            <v>0.04</v>
          </cell>
          <cell r="N187">
            <v>5</v>
          </cell>
          <cell r="O187">
            <v>26000</v>
          </cell>
          <cell r="P187">
            <v>0.1</v>
          </cell>
          <cell r="Q187">
            <v>0.4</v>
          </cell>
        </row>
        <row r="188">
          <cell r="B188" t="str">
            <v>Electric LinesAerial1 x 6 kV3 phase(s)wire:OL-AL, 50 mm2Metal Pole</v>
          </cell>
          <cell r="C188" t="str">
            <v>Electric Lines</v>
          </cell>
          <cell r="D188" t="str">
            <v>Aerial</v>
          </cell>
          <cell r="E188" t="str">
            <v>1 x 6 kV</v>
          </cell>
          <cell r="F188" t="str">
            <v>3 phase(s)</v>
          </cell>
          <cell r="G188" t="str">
            <v>wire:OL-AL, 50 mm2</v>
          </cell>
          <cell r="H188" t="str">
            <v>Metal Pole</v>
          </cell>
          <cell r="I188">
            <v>19440</v>
          </cell>
          <cell r="J188">
            <v>30</v>
          </cell>
          <cell r="K188">
            <v>0.95</v>
          </cell>
          <cell r="L188">
            <v>7</v>
          </cell>
          <cell r="M188">
            <v>0.04</v>
          </cell>
          <cell r="N188">
            <v>5</v>
          </cell>
          <cell r="O188">
            <v>36000</v>
          </cell>
          <cell r="P188">
            <v>0.1</v>
          </cell>
          <cell r="Q188">
            <v>0.4</v>
          </cell>
        </row>
        <row r="189">
          <cell r="B189" t="str">
            <v>Electric LinesAerial1 x 6 kV3 phase(s)wire:OL-AL, 50 mm2Wood Pole</v>
          </cell>
          <cell r="C189" t="str">
            <v>Electric Lines</v>
          </cell>
          <cell r="D189" t="str">
            <v>Aerial</v>
          </cell>
          <cell r="E189" t="str">
            <v>1 x 6 kV</v>
          </cell>
          <cell r="F189" t="str">
            <v>3 phase(s)</v>
          </cell>
          <cell r="G189" t="str">
            <v>wire:OL-AL, 50 mm2</v>
          </cell>
          <cell r="H189" t="str">
            <v>Wood Pole</v>
          </cell>
          <cell r="I189">
            <v>11880</v>
          </cell>
          <cell r="J189">
            <v>30</v>
          </cell>
          <cell r="K189">
            <v>0.95</v>
          </cell>
          <cell r="L189">
            <v>7</v>
          </cell>
          <cell r="M189">
            <v>0.04</v>
          </cell>
          <cell r="N189">
            <v>5</v>
          </cell>
          <cell r="O189">
            <v>22000</v>
          </cell>
          <cell r="P189">
            <v>0.1</v>
          </cell>
          <cell r="Q189">
            <v>0.4</v>
          </cell>
        </row>
        <row r="190">
          <cell r="B190" t="str">
            <v>Electric LinesAerial1 x 6 kV3 phase(s)wire:OL-AL, 50 mm2Only the wire</v>
          </cell>
          <cell r="C190" t="str">
            <v>Electric Lines</v>
          </cell>
          <cell r="D190" t="str">
            <v>Aerial</v>
          </cell>
          <cell r="E190" t="str">
            <v>1 x 6 kV</v>
          </cell>
          <cell r="F190" t="str">
            <v>3 phase(s)</v>
          </cell>
          <cell r="G190" t="str">
            <v>wire:OL-AL, 50 mm2</v>
          </cell>
          <cell r="H190" t="str">
            <v>Only the wire</v>
          </cell>
          <cell r="I190">
            <v>4320</v>
          </cell>
          <cell r="J190">
            <v>25</v>
          </cell>
          <cell r="K190">
            <v>0.95</v>
          </cell>
          <cell r="L190">
            <v>5</v>
          </cell>
          <cell r="M190">
            <v>0.04</v>
          </cell>
          <cell r="N190">
            <v>5</v>
          </cell>
          <cell r="O190">
            <v>8000</v>
          </cell>
          <cell r="P190">
            <v>0.1</v>
          </cell>
          <cell r="Q190">
            <v>0.4</v>
          </cell>
        </row>
        <row r="191">
          <cell r="B191" t="str">
            <v>Electric LinesAerial1 x 6 kV3 phase(s)wire:OL-AL, 70 mm2Concrete Pole</v>
          </cell>
          <cell r="C191" t="str">
            <v>Electric Lines</v>
          </cell>
          <cell r="D191" t="str">
            <v>Aerial</v>
          </cell>
          <cell r="E191" t="str">
            <v>1 x 6 kV</v>
          </cell>
          <cell r="F191" t="str">
            <v>3 phase(s)</v>
          </cell>
          <cell r="G191" t="str">
            <v>wire:OL-AL, 70 mm2</v>
          </cell>
          <cell r="H191" t="str">
            <v>Concrete Pole</v>
          </cell>
          <cell r="I191">
            <v>12960</v>
          </cell>
          <cell r="J191">
            <v>30</v>
          </cell>
          <cell r="K191">
            <v>0.95</v>
          </cell>
          <cell r="L191">
            <v>7</v>
          </cell>
          <cell r="M191">
            <v>0.04</v>
          </cell>
          <cell r="N191">
            <v>5</v>
          </cell>
          <cell r="O191">
            <v>24000</v>
          </cell>
          <cell r="P191">
            <v>0.1</v>
          </cell>
          <cell r="Q191">
            <v>0.4</v>
          </cell>
        </row>
        <row r="192">
          <cell r="B192" t="str">
            <v>Electric LinesAerial1 x 6 kV3 phase(s)wire:OL-AL, 70 mm2Metal Pole</v>
          </cell>
          <cell r="C192" t="str">
            <v>Electric Lines</v>
          </cell>
          <cell r="D192" t="str">
            <v>Aerial</v>
          </cell>
          <cell r="E192" t="str">
            <v>1 x 6 kV</v>
          </cell>
          <cell r="F192" t="str">
            <v>3 phase(s)</v>
          </cell>
          <cell r="G192" t="str">
            <v>wire:OL-AL, 70 mm2</v>
          </cell>
          <cell r="H192" t="str">
            <v>Metal Pole</v>
          </cell>
          <cell r="I192">
            <v>18360</v>
          </cell>
          <cell r="J192">
            <v>30</v>
          </cell>
          <cell r="K192">
            <v>0.95</v>
          </cell>
          <cell r="L192">
            <v>7</v>
          </cell>
          <cell r="M192">
            <v>0.04</v>
          </cell>
          <cell r="N192">
            <v>5</v>
          </cell>
          <cell r="O192">
            <v>34000</v>
          </cell>
          <cell r="P192">
            <v>0.1</v>
          </cell>
          <cell r="Q192">
            <v>0.4</v>
          </cell>
        </row>
        <row r="193">
          <cell r="B193" t="str">
            <v>Electric LinesAerial1 x 6 kV3 phase(s)wire:OL-AL, 70 mm2Wood Pole</v>
          </cell>
          <cell r="C193" t="str">
            <v>Electric Lines</v>
          </cell>
          <cell r="D193" t="str">
            <v>Aerial</v>
          </cell>
          <cell r="E193" t="str">
            <v>1 x 6 kV</v>
          </cell>
          <cell r="F193" t="str">
            <v>3 phase(s)</v>
          </cell>
          <cell r="G193" t="str">
            <v>wire:OL-AL, 70 mm2</v>
          </cell>
          <cell r="H193" t="str">
            <v>Wood Pole</v>
          </cell>
          <cell r="I193">
            <v>11340</v>
          </cell>
          <cell r="J193">
            <v>30</v>
          </cell>
          <cell r="K193">
            <v>0.95</v>
          </cell>
          <cell r="L193">
            <v>7</v>
          </cell>
          <cell r="M193">
            <v>0.04</v>
          </cell>
          <cell r="N193">
            <v>5</v>
          </cell>
          <cell r="O193">
            <v>21000</v>
          </cell>
          <cell r="P193">
            <v>0.1</v>
          </cell>
          <cell r="Q193">
            <v>0.4</v>
          </cell>
        </row>
        <row r="194">
          <cell r="B194" t="str">
            <v>Electric LinesAerial1 x 6 kV3 phase(s)wire:OL-AL, 70 mm2Only the wire</v>
          </cell>
          <cell r="C194" t="str">
            <v>Electric Lines</v>
          </cell>
          <cell r="D194" t="str">
            <v>Aerial</v>
          </cell>
          <cell r="E194" t="str">
            <v>1 x 6 kV</v>
          </cell>
          <cell r="F194" t="str">
            <v>3 phase(s)</v>
          </cell>
          <cell r="G194" t="str">
            <v>wire:OL-AL, 70 mm2</v>
          </cell>
          <cell r="H194" t="str">
            <v>Only the wire</v>
          </cell>
          <cell r="I194">
            <v>3780</v>
          </cell>
          <cell r="J194">
            <v>25</v>
          </cell>
          <cell r="K194">
            <v>0.95</v>
          </cell>
          <cell r="L194">
            <v>5</v>
          </cell>
          <cell r="M194">
            <v>0.04</v>
          </cell>
          <cell r="N194">
            <v>5</v>
          </cell>
          <cell r="O194">
            <v>7000</v>
          </cell>
          <cell r="P194">
            <v>0.1</v>
          </cell>
          <cell r="Q194">
            <v>0.4</v>
          </cell>
        </row>
        <row r="195">
          <cell r="B195" t="str">
            <v>Electric LinesAerial1 x 6 kV3 phase(s)wire:OL-AL, 95 mm2Concrete Pole</v>
          </cell>
          <cell r="C195" t="str">
            <v>Electric Lines</v>
          </cell>
          <cell r="D195" t="str">
            <v>Aerial</v>
          </cell>
          <cell r="E195" t="str">
            <v>1 x 6 kV</v>
          </cell>
          <cell r="F195" t="str">
            <v>3 phase(s)</v>
          </cell>
          <cell r="G195" t="str">
            <v>wire:OL-AL, 95 mm2</v>
          </cell>
          <cell r="H195" t="str">
            <v>Concrete Pole</v>
          </cell>
          <cell r="I195">
            <v>14580</v>
          </cell>
          <cell r="J195">
            <v>30</v>
          </cell>
          <cell r="K195">
            <v>0.95</v>
          </cell>
          <cell r="L195">
            <v>7</v>
          </cell>
          <cell r="M195">
            <v>0.04</v>
          </cell>
          <cell r="N195">
            <v>5</v>
          </cell>
          <cell r="O195">
            <v>27000</v>
          </cell>
          <cell r="P195">
            <v>0.1</v>
          </cell>
          <cell r="Q195">
            <v>0.4</v>
          </cell>
        </row>
        <row r="196">
          <cell r="B196" t="str">
            <v>Electric LinesAerial1 x 6 kV3 phase(s)wire:OL-AL, 95 mm2Metal Pole</v>
          </cell>
          <cell r="C196" t="str">
            <v>Electric Lines</v>
          </cell>
          <cell r="D196" t="str">
            <v>Aerial</v>
          </cell>
          <cell r="E196" t="str">
            <v>1 x 6 kV</v>
          </cell>
          <cell r="F196" t="str">
            <v>3 phase(s)</v>
          </cell>
          <cell r="G196" t="str">
            <v>wire:OL-AL, 95 mm2</v>
          </cell>
          <cell r="H196" t="str">
            <v>Metal Pole</v>
          </cell>
          <cell r="I196">
            <v>20520</v>
          </cell>
          <cell r="J196">
            <v>30</v>
          </cell>
          <cell r="K196">
            <v>0.95</v>
          </cell>
          <cell r="L196">
            <v>7</v>
          </cell>
          <cell r="M196">
            <v>0.04</v>
          </cell>
          <cell r="N196">
            <v>5</v>
          </cell>
          <cell r="O196">
            <v>38000</v>
          </cell>
          <cell r="P196">
            <v>0.1</v>
          </cell>
          <cell r="Q196">
            <v>0.4</v>
          </cell>
        </row>
        <row r="197">
          <cell r="B197" t="str">
            <v>Electric LinesAerial1 x 6 kV3 phase(s)wire:OL-AL, 95 mm2Wood Pole</v>
          </cell>
          <cell r="C197" t="str">
            <v>Electric Lines</v>
          </cell>
          <cell r="D197" t="str">
            <v>Aerial</v>
          </cell>
          <cell r="E197" t="str">
            <v>1 x 6 kV</v>
          </cell>
          <cell r="F197" t="str">
            <v>3 phase(s)</v>
          </cell>
          <cell r="G197" t="str">
            <v>wire:OL-AL, 95 mm2</v>
          </cell>
          <cell r="H197" t="str">
            <v>Wood Pole</v>
          </cell>
          <cell r="I197">
            <v>12420</v>
          </cell>
          <cell r="J197">
            <v>30</v>
          </cell>
          <cell r="K197">
            <v>0.95</v>
          </cell>
          <cell r="L197">
            <v>7</v>
          </cell>
          <cell r="M197">
            <v>0.04</v>
          </cell>
          <cell r="N197">
            <v>5</v>
          </cell>
          <cell r="O197">
            <v>23000</v>
          </cell>
          <cell r="P197">
            <v>0.1</v>
          </cell>
          <cell r="Q197">
            <v>0.4</v>
          </cell>
        </row>
        <row r="198">
          <cell r="B198" t="str">
            <v>Electric LinesAerial1 x 6 kV3 phase(s)wire:OL-AL, 95 mm2Only the wire</v>
          </cell>
          <cell r="C198" t="str">
            <v>Electric Lines</v>
          </cell>
          <cell r="D198" t="str">
            <v>Aerial</v>
          </cell>
          <cell r="E198" t="str">
            <v>1 x 6 kV</v>
          </cell>
          <cell r="F198" t="str">
            <v>3 phase(s)</v>
          </cell>
          <cell r="G198" t="str">
            <v>wire:OL-AL, 95 mm2</v>
          </cell>
          <cell r="H198" t="str">
            <v>Only the wire</v>
          </cell>
          <cell r="I198">
            <v>4320</v>
          </cell>
          <cell r="J198">
            <v>25</v>
          </cell>
          <cell r="K198">
            <v>0.95</v>
          </cell>
          <cell r="L198">
            <v>5</v>
          </cell>
          <cell r="M198">
            <v>0.04</v>
          </cell>
          <cell r="N198">
            <v>5</v>
          </cell>
          <cell r="O198">
            <v>8000</v>
          </cell>
          <cell r="P198">
            <v>0.1</v>
          </cell>
          <cell r="Q198">
            <v>0.4</v>
          </cell>
        </row>
        <row r="199">
          <cell r="B199" t="str">
            <v>Electric LinesAerial1 x 10 kV3 phase(s)wire:OL-AL, 50 mm2Concrete Pole</v>
          </cell>
          <cell r="C199" t="str">
            <v>Electric Lines</v>
          </cell>
          <cell r="D199" t="str">
            <v>Aerial</v>
          </cell>
          <cell r="E199" t="str">
            <v>1 x 10 kV</v>
          </cell>
          <cell r="F199" t="str">
            <v>3 phase(s)</v>
          </cell>
          <cell r="G199" t="str">
            <v>wire:OL-AL, 50 mm2</v>
          </cell>
          <cell r="H199" t="str">
            <v>Concrete Pole</v>
          </cell>
          <cell r="I199">
            <v>14040</v>
          </cell>
          <cell r="J199">
            <v>30</v>
          </cell>
          <cell r="K199">
            <v>0.95</v>
          </cell>
          <cell r="L199">
            <v>7</v>
          </cell>
          <cell r="M199">
            <v>0.04</v>
          </cell>
          <cell r="N199">
            <v>5</v>
          </cell>
          <cell r="O199">
            <v>26000</v>
          </cell>
          <cell r="P199">
            <v>0.1</v>
          </cell>
          <cell r="Q199">
            <v>0.4</v>
          </cell>
        </row>
        <row r="200">
          <cell r="B200" t="str">
            <v>Electric LinesAerial1 x 10 kV3 phase(s)wire:OL-AL, 50 mm2Metal Pole</v>
          </cell>
          <cell r="C200" t="str">
            <v>Electric Lines</v>
          </cell>
          <cell r="D200" t="str">
            <v>Aerial</v>
          </cell>
          <cell r="E200" t="str">
            <v>1 x 10 kV</v>
          </cell>
          <cell r="F200" t="str">
            <v>3 phase(s)</v>
          </cell>
          <cell r="G200" t="str">
            <v>wire:OL-AL, 50 mm2</v>
          </cell>
          <cell r="H200" t="str">
            <v>Metal Pole</v>
          </cell>
          <cell r="I200">
            <v>19440</v>
          </cell>
          <cell r="J200">
            <v>30</v>
          </cell>
          <cell r="K200">
            <v>0.95</v>
          </cell>
          <cell r="L200">
            <v>7</v>
          </cell>
          <cell r="M200">
            <v>0.04</v>
          </cell>
          <cell r="N200">
            <v>5</v>
          </cell>
          <cell r="O200">
            <v>36000</v>
          </cell>
          <cell r="P200">
            <v>0.1</v>
          </cell>
          <cell r="Q200">
            <v>0.4</v>
          </cell>
        </row>
        <row r="201">
          <cell r="B201" t="str">
            <v>Electric LinesAerial1 x 10 kV3 phase(s)wire:OL-AL, 50 mm2Wood Pole</v>
          </cell>
          <cell r="C201" t="str">
            <v>Electric Lines</v>
          </cell>
          <cell r="D201" t="str">
            <v>Aerial</v>
          </cell>
          <cell r="E201" t="str">
            <v>1 x 10 kV</v>
          </cell>
          <cell r="F201" t="str">
            <v>3 phase(s)</v>
          </cell>
          <cell r="G201" t="str">
            <v>wire:OL-AL, 50 mm2</v>
          </cell>
          <cell r="H201" t="str">
            <v>Wood Pole</v>
          </cell>
          <cell r="I201">
            <v>11880</v>
          </cell>
          <cell r="J201">
            <v>30</v>
          </cell>
          <cell r="K201">
            <v>0.95</v>
          </cell>
          <cell r="L201">
            <v>7</v>
          </cell>
          <cell r="M201">
            <v>0.04</v>
          </cell>
          <cell r="N201">
            <v>5</v>
          </cell>
          <cell r="O201">
            <v>22000</v>
          </cell>
          <cell r="P201">
            <v>0.1</v>
          </cell>
          <cell r="Q201">
            <v>0.4</v>
          </cell>
        </row>
        <row r="202">
          <cell r="B202" t="str">
            <v>Electric LinesAerial1 x 10 kV3 phase(s)wire:OL-AL, 50 mm2Only the wire</v>
          </cell>
          <cell r="C202" t="str">
            <v>Electric Lines</v>
          </cell>
          <cell r="D202" t="str">
            <v>Aerial</v>
          </cell>
          <cell r="E202" t="str">
            <v>1 x 10 kV</v>
          </cell>
          <cell r="F202" t="str">
            <v>3 phase(s)</v>
          </cell>
          <cell r="G202" t="str">
            <v>wire:OL-AL, 50 mm2</v>
          </cell>
          <cell r="H202" t="str">
            <v>Only the wire</v>
          </cell>
          <cell r="I202">
            <v>4320</v>
          </cell>
          <cell r="J202">
            <v>25</v>
          </cell>
          <cell r="K202">
            <v>0.95</v>
          </cell>
          <cell r="L202">
            <v>5</v>
          </cell>
          <cell r="M202">
            <v>0.04</v>
          </cell>
          <cell r="N202">
            <v>5</v>
          </cell>
          <cell r="O202">
            <v>8000</v>
          </cell>
          <cell r="P202">
            <v>0.1</v>
          </cell>
          <cell r="Q202">
            <v>0.4</v>
          </cell>
        </row>
        <row r="203">
          <cell r="B203" t="str">
            <v>Electric LinesAerial1 x 10 kV3 phase(s)wire:OL-AL, 70 mm2Concrete Pole</v>
          </cell>
          <cell r="C203" t="str">
            <v>Electric Lines</v>
          </cell>
          <cell r="D203" t="str">
            <v>Aerial</v>
          </cell>
          <cell r="E203" t="str">
            <v>1 x 10 kV</v>
          </cell>
          <cell r="F203" t="str">
            <v>3 phase(s)</v>
          </cell>
          <cell r="G203" t="str">
            <v>wire:OL-AL, 70 mm2</v>
          </cell>
          <cell r="H203" t="str">
            <v>Concrete Pole</v>
          </cell>
          <cell r="I203">
            <v>12960</v>
          </cell>
          <cell r="J203">
            <v>30</v>
          </cell>
          <cell r="K203">
            <v>0.95</v>
          </cell>
          <cell r="L203">
            <v>7</v>
          </cell>
          <cell r="M203">
            <v>0.04</v>
          </cell>
          <cell r="N203">
            <v>5</v>
          </cell>
          <cell r="O203">
            <v>24000</v>
          </cell>
          <cell r="P203">
            <v>0.1</v>
          </cell>
          <cell r="Q203">
            <v>0.4</v>
          </cell>
        </row>
        <row r="204">
          <cell r="B204" t="str">
            <v>Electric LinesAerial1 x 10 kV3 phase(s)wire:OL-AL, 70 mm2Metal Pole</v>
          </cell>
          <cell r="C204" t="str">
            <v>Electric Lines</v>
          </cell>
          <cell r="D204" t="str">
            <v>Aerial</v>
          </cell>
          <cell r="E204" t="str">
            <v>1 x 10 kV</v>
          </cell>
          <cell r="F204" t="str">
            <v>3 phase(s)</v>
          </cell>
          <cell r="G204" t="str">
            <v>wire:OL-AL, 70 mm2</v>
          </cell>
          <cell r="H204" t="str">
            <v>Metal Pole</v>
          </cell>
          <cell r="I204">
            <v>18360</v>
          </cell>
          <cell r="J204">
            <v>30</v>
          </cell>
          <cell r="K204">
            <v>0.95</v>
          </cell>
          <cell r="L204">
            <v>7</v>
          </cell>
          <cell r="M204">
            <v>0.04</v>
          </cell>
          <cell r="N204">
            <v>5</v>
          </cell>
          <cell r="O204">
            <v>34000</v>
          </cell>
          <cell r="P204">
            <v>0.1</v>
          </cell>
          <cell r="Q204">
            <v>0.4</v>
          </cell>
        </row>
        <row r="205">
          <cell r="B205" t="str">
            <v>Electric LinesAerial1 x 10 kV3 phase(s)wire:OL-AL, 70 mm2Wood Pole</v>
          </cell>
          <cell r="C205" t="str">
            <v>Electric Lines</v>
          </cell>
          <cell r="D205" t="str">
            <v>Aerial</v>
          </cell>
          <cell r="E205" t="str">
            <v>1 x 10 kV</v>
          </cell>
          <cell r="F205" t="str">
            <v>3 phase(s)</v>
          </cell>
          <cell r="G205" t="str">
            <v>wire:OL-AL, 70 mm2</v>
          </cell>
          <cell r="H205" t="str">
            <v>Wood Pole</v>
          </cell>
          <cell r="I205">
            <v>11340</v>
          </cell>
          <cell r="J205">
            <v>30</v>
          </cell>
          <cell r="K205">
            <v>0.95</v>
          </cell>
          <cell r="L205">
            <v>7</v>
          </cell>
          <cell r="M205">
            <v>0.04</v>
          </cell>
          <cell r="N205">
            <v>5</v>
          </cell>
          <cell r="O205">
            <v>21000</v>
          </cell>
          <cell r="P205">
            <v>0.1</v>
          </cell>
          <cell r="Q205">
            <v>0.4</v>
          </cell>
        </row>
        <row r="206">
          <cell r="B206" t="str">
            <v>Electric LinesAerial1 x 10 kV3 phase(s)wire:OL-AL, 70 mm2Only the wire</v>
          </cell>
          <cell r="C206" t="str">
            <v>Electric Lines</v>
          </cell>
          <cell r="D206" t="str">
            <v>Aerial</v>
          </cell>
          <cell r="E206" t="str">
            <v>1 x 10 kV</v>
          </cell>
          <cell r="F206" t="str">
            <v>3 phase(s)</v>
          </cell>
          <cell r="G206" t="str">
            <v>wire:OL-AL, 70 mm2</v>
          </cell>
          <cell r="H206" t="str">
            <v>Only the wire</v>
          </cell>
          <cell r="I206">
            <v>3780</v>
          </cell>
          <cell r="J206">
            <v>25</v>
          </cell>
          <cell r="K206">
            <v>0.95</v>
          </cell>
          <cell r="L206">
            <v>5</v>
          </cell>
          <cell r="M206">
            <v>0.04</v>
          </cell>
          <cell r="N206">
            <v>5</v>
          </cell>
          <cell r="O206">
            <v>7000</v>
          </cell>
          <cell r="P206">
            <v>0.1</v>
          </cell>
          <cell r="Q206">
            <v>0.4</v>
          </cell>
        </row>
        <row r="207">
          <cell r="B207" t="str">
            <v>Electric LinesAerial1 x 20 kV3 phase(s)wire:OL-AL, 25 mm2Concrete Pole</v>
          </cell>
          <cell r="C207" t="str">
            <v>Electric Lines</v>
          </cell>
          <cell r="D207" t="str">
            <v>Aerial</v>
          </cell>
          <cell r="E207" t="str">
            <v>1 x 20 kV</v>
          </cell>
          <cell r="F207" t="str">
            <v>3 phase(s)</v>
          </cell>
          <cell r="G207" t="str">
            <v>wire:OL-AL, 25 mm2</v>
          </cell>
          <cell r="H207" t="str">
            <v>Concrete Pole</v>
          </cell>
          <cell r="I207">
            <v>13500</v>
          </cell>
          <cell r="J207">
            <v>30</v>
          </cell>
          <cell r="K207">
            <v>0.95</v>
          </cell>
          <cell r="L207">
            <v>7</v>
          </cell>
          <cell r="M207">
            <v>0.04</v>
          </cell>
          <cell r="N207">
            <v>5</v>
          </cell>
          <cell r="O207">
            <v>25000</v>
          </cell>
          <cell r="P207">
            <v>0.1</v>
          </cell>
          <cell r="Q207">
            <v>0.4</v>
          </cell>
        </row>
        <row r="208">
          <cell r="B208" t="str">
            <v>Electric LinesAerial1 x 20 kV3 phase(s)wire:OL-AL, 25 mm2Metal Pole</v>
          </cell>
          <cell r="C208" t="str">
            <v>Electric Lines</v>
          </cell>
          <cell r="D208" t="str">
            <v>Aerial</v>
          </cell>
          <cell r="E208" t="str">
            <v>1 x 20 kV</v>
          </cell>
          <cell r="F208" t="str">
            <v>3 phase(s)</v>
          </cell>
          <cell r="G208" t="str">
            <v>wire:OL-AL, 25 mm2</v>
          </cell>
          <cell r="H208" t="str">
            <v>Metal Pole</v>
          </cell>
          <cell r="I208">
            <v>18360</v>
          </cell>
          <cell r="J208">
            <v>35</v>
          </cell>
          <cell r="K208">
            <v>0.95</v>
          </cell>
          <cell r="L208">
            <v>8</v>
          </cell>
          <cell r="M208">
            <v>0.04</v>
          </cell>
          <cell r="N208">
            <v>5</v>
          </cell>
          <cell r="O208">
            <v>34000</v>
          </cell>
          <cell r="P208">
            <v>0.1</v>
          </cell>
          <cell r="Q208">
            <v>0.4</v>
          </cell>
        </row>
        <row r="209">
          <cell r="B209" t="str">
            <v>Electric LinesAerial1 x 20 kV3 phase(s)wire:OL-AL, 25 mm2Wood Pole</v>
          </cell>
          <cell r="C209" t="str">
            <v>Electric Lines</v>
          </cell>
          <cell r="D209" t="str">
            <v>Aerial</v>
          </cell>
          <cell r="E209" t="str">
            <v>1 x 20 kV</v>
          </cell>
          <cell r="F209" t="str">
            <v>3 phase(s)</v>
          </cell>
          <cell r="G209" t="str">
            <v>wire:OL-AL, 25 mm2</v>
          </cell>
          <cell r="H209" t="str">
            <v>Wood Pole</v>
          </cell>
          <cell r="I209">
            <v>11340</v>
          </cell>
          <cell r="J209">
            <v>30</v>
          </cell>
          <cell r="K209">
            <v>0.95</v>
          </cell>
          <cell r="L209">
            <v>7</v>
          </cell>
          <cell r="M209">
            <v>0.04</v>
          </cell>
          <cell r="N209">
            <v>5</v>
          </cell>
          <cell r="O209">
            <v>21000</v>
          </cell>
          <cell r="P209">
            <v>0.1</v>
          </cell>
          <cell r="Q209">
            <v>0.4</v>
          </cell>
        </row>
        <row r="210">
          <cell r="B210" t="str">
            <v>Electric LinesAerial1 x 20 kV3 phase(s)wire:OL-AL, 25 mm2Only the wire</v>
          </cell>
          <cell r="C210" t="str">
            <v>Electric Lines</v>
          </cell>
          <cell r="D210" t="str">
            <v>Aerial</v>
          </cell>
          <cell r="E210" t="str">
            <v>1 x 20 kV</v>
          </cell>
          <cell r="F210" t="str">
            <v>3 phase(s)</v>
          </cell>
          <cell r="G210" t="str">
            <v>wire:OL-AL, 25 mm2</v>
          </cell>
          <cell r="H210" t="str">
            <v>Only the wire</v>
          </cell>
          <cell r="I210">
            <v>4320</v>
          </cell>
          <cell r="J210">
            <v>25</v>
          </cell>
          <cell r="K210">
            <v>0.95</v>
          </cell>
          <cell r="L210">
            <v>5</v>
          </cell>
          <cell r="M210">
            <v>0.04</v>
          </cell>
          <cell r="N210">
            <v>5</v>
          </cell>
          <cell r="O210">
            <v>8000</v>
          </cell>
          <cell r="P210">
            <v>0.1</v>
          </cell>
          <cell r="Q210">
            <v>0.4</v>
          </cell>
        </row>
        <row r="211">
          <cell r="B211" t="str">
            <v>Electric LinesAerial1 x 20 kV3 phase(s)wire:OL-AL, 35 mm2Concrete Pole</v>
          </cell>
          <cell r="C211" t="str">
            <v>Electric Lines</v>
          </cell>
          <cell r="D211" t="str">
            <v>Aerial</v>
          </cell>
          <cell r="E211" t="str">
            <v>1 x 20 kV</v>
          </cell>
          <cell r="F211" t="str">
            <v>3 phase(s)</v>
          </cell>
          <cell r="G211" t="str">
            <v>wire:OL-AL, 35 mm2</v>
          </cell>
          <cell r="H211" t="str">
            <v>Concrete Pole</v>
          </cell>
          <cell r="I211">
            <v>13500</v>
          </cell>
          <cell r="J211">
            <v>30</v>
          </cell>
          <cell r="K211">
            <v>0.95</v>
          </cell>
          <cell r="L211">
            <v>7</v>
          </cell>
          <cell r="M211">
            <v>0.04</v>
          </cell>
          <cell r="N211">
            <v>5</v>
          </cell>
          <cell r="O211">
            <v>25000</v>
          </cell>
          <cell r="P211">
            <v>0.1</v>
          </cell>
          <cell r="Q211">
            <v>0.4</v>
          </cell>
        </row>
        <row r="212">
          <cell r="B212" t="str">
            <v>Electric LinesAerial1 x 20 kV3 phase(s)wire:OL-AL, 35 mm2Metal Pole</v>
          </cell>
          <cell r="C212" t="str">
            <v>Electric Lines</v>
          </cell>
          <cell r="D212" t="str">
            <v>Aerial</v>
          </cell>
          <cell r="E212" t="str">
            <v>1 x 20 kV</v>
          </cell>
          <cell r="F212" t="str">
            <v>3 phase(s)</v>
          </cell>
          <cell r="G212" t="str">
            <v>wire:OL-AL, 35 mm2</v>
          </cell>
          <cell r="H212" t="str">
            <v>Metal Pole</v>
          </cell>
          <cell r="I212">
            <v>18900</v>
          </cell>
          <cell r="J212">
            <v>35</v>
          </cell>
          <cell r="K212">
            <v>0.95</v>
          </cell>
          <cell r="L212">
            <v>8</v>
          </cell>
          <cell r="M212">
            <v>0.04</v>
          </cell>
          <cell r="N212">
            <v>5</v>
          </cell>
          <cell r="O212">
            <v>35000</v>
          </cell>
          <cell r="P212">
            <v>0.1</v>
          </cell>
          <cell r="Q212">
            <v>0.4</v>
          </cell>
        </row>
        <row r="213">
          <cell r="B213" t="str">
            <v>Electric LinesAerial1 x 20 kV3 phase(s)wire:OL-AL, 35 mm2Wood Pole</v>
          </cell>
          <cell r="C213" t="str">
            <v>Electric Lines</v>
          </cell>
          <cell r="D213" t="str">
            <v>Aerial</v>
          </cell>
          <cell r="E213" t="str">
            <v>1 x 20 kV</v>
          </cell>
          <cell r="F213" t="str">
            <v>3 phase(s)</v>
          </cell>
          <cell r="G213" t="str">
            <v>wire:OL-AL, 35 mm2</v>
          </cell>
          <cell r="H213" t="str">
            <v>Wood Pole</v>
          </cell>
          <cell r="I213">
            <v>11340</v>
          </cell>
          <cell r="J213">
            <v>30</v>
          </cell>
          <cell r="K213">
            <v>0.95</v>
          </cell>
          <cell r="L213">
            <v>7</v>
          </cell>
          <cell r="M213">
            <v>0.04</v>
          </cell>
          <cell r="N213">
            <v>5</v>
          </cell>
          <cell r="O213">
            <v>21000</v>
          </cell>
          <cell r="P213">
            <v>0.1</v>
          </cell>
          <cell r="Q213">
            <v>0.4</v>
          </cell>
        </row>
        <row r="214">
          <cell r="B214" t="str">
            <v>Electric LinesAerial1 x 20 kV3 phase(s)wire:OL-AL, 35 mm2Only the wire</v>
          </cell>
          <cell r="C214" t="str">
            <v>Electric Lines</v>
          </cell>
          <cell r="D214" t="str">
            <v>Aerial</v>
          </cell>
          <cell r="E214" t="str">
            <v>1 x 20 kV</v>
          </cell>
          <cell r="F214" t="str">
            <v>3 phase(s)</v>
          </cell>
          <cell r="G214" t="str">
            <v>wire:OL-AL, 35 mm2</v>
          </cell>
          <cell r="H214" t="str">
            <v>Only the wire</v>
          </cell>
          <cell r="I214">
            <v>4320</v>
          </cell>
          <cell r="J214">
            <v>25</v>
          </cell>
          <cell r="K214">
            <v>0.95</v>
          </cell>
          <cell r="L214">
            <v>5</v>
          </cell>
          <cell r="M214">
            <v>0.04</v>
          </cell>
          <cell r="N214">
            <v>5</v>
          </cell>
          <cell r="O214">
            <v>8000</v>
          </cell>
          <cell r="P214">
            <v>0.1</v>
          </cell>
          <cell r="Q214">
            <v>0.4</v>
          </cell>
        </row>
        <row r="215">
          <cell r="B215" t="str">
            <v>Electric LinesAerial1 x 20 kV3 phase(s)wire:OL-AL, 50 mm2Concrete Pole</v>
          </cell>
          <cell r="C215" t="str">
            <v>Electric Lines</v>
          </cell>
          <cell r="D215" t="str">
            <v>Aerial</v>
          </cell>
          <cell r="E215" t="str">
            <v>1 x 20 kV</v>
          </cell>
          <cell r="F215" t="str">
            <v>3 phase(s)</v>
          </cell>
          <cell r="G215" t="str">
            <v>wire:OL-AL, 50 mm2</v>
          </cell>
          <cell r="H215" t="str">
            <v>Concrete Pole</v>
          </cell>
          <cell r="I215">
            <v>14040</v>
          </cell>
          <cell r="J215">
            <v>30</v>
          </cell>
          <cell r="K215">
            <v>0.95</v>
          </cell>
          <cell r="L215">
            <v>7</v>
          </cell>
          <cell r="M215">
            <v>0.04</v>
          </cell>
          <cell r="N215">
            <v>5</v>
          </cell>
          <cell r="O215">
            <v>26000</v>
          </cell>
          <cell r="P215">
            <v>0.1</v>
          </cell>
          <cell r="Q215">
            <v>0.4</v>
          </cell>
        </row>
        <row r="216">
          <cell r="B216" t="str">
            <v>Electric LinesAerial1 x 20 kV3 phase(s)wire:OL-AL, 50 mm2Metal Pole</v>
          </cell>
          <cell r="C216" t="str">
            <v>Electric Lines</v>
          </cell>
          <cell r="D216" t="str">
            <v>Aerial</v>
          </cell>
          <cell r="E216" t="str">
            <v>1 x 20 kV</v>
          </cell>
          <cell r="F216" t="str">
            <v>3 phase(s)</v>
          </cell>
          <cell r="G216" t="str">
            <v>wire:OL-AL, 50 mm2</v>
          </cell>
          <cell r="H216" t="str">
            <v>Metal Pole</v>
          </cell>
          <cell r="I216">
            <v>19440</v>
          </cell>
          <cell r="J216">
            <v>35</v>
          </cell>
          <cell r="K216">
            <v>0.95</v>
          </cell>
          <cell r="L216">
            <v>8</v>
          </cell>
          <cell r="M216">
            <v>0.04</v>
          </cell>
          <cell r="N216">
            <v>5</v>
          </cell>
          <cell r="O216">
            <v>36000</v>
          </cell>
          <cell r="P216">
            <v>0.1</v>
          </cell>
          <cell r="Q216">
            <v>0.4</v>
          </cell>
        </row>
        <row r="217">
          <cell r="B217" t="str">
            <v>Electric LinesAerial1 x 20 kV3 phase(s)wire:OL-AL, 50 mm2Wood Pole</v>
          </cell>
          <cell r="C217" t="str">
            <v>Electric Lines</v>
          </cell>
          <cell r="D217" t="str">
            <v>Aerial</v>
          </cell>
          <cell r="E217" t="str">
            <v>1 x 20 kV</v>
          </cell>
          <cell r="F217" t="str">
            <v>3 phase(s)</v>
          </cell>
          <cell r="G217" t="str">
            <v>wire:OL-AL, 50 mm2</v>
          </cell>
          <cell r="H217" t="str">
            <v>Wood Pole</v>
          </cell>
          <cell r="I217">
            <v>11880</v>
          </cell>
          <cell r="J217">
            <v>30</v>
          </cell>
          <cell r="K217">
            <v>0.95</v>
          </cell>
          <cell r="L217">
            <v>7</v>
          </cell>
          <cell r="M217">
            <v>0.04</v>
          </cell>
          <cell r="N217">
            <v>5</v>
          </cell>
          <cell r="O217">
            <v>22000</v>
          </cell>
          <cell r="P217">
            <v>0.1</v>
          </cell>
          <cell r="Q217">
            <v>0.4</v>
          </cell>
        </row>
        <row r="218">
          <cell r="B218" t="str">
            <v>Electric LinesAerial1 x 20 kV3 phase(s)wire:OL-AL, 50 mm2Only the wire</v>
          </cell>
          <cell r="C218" t="str">
            <v>Electric Lines</v>
          </cell>
          <cell r="D218" t="str">
            <v>Aerial</v>
          </cell>
          <cell r="E218" t="str">
            <v>1 x 20 kV</v>
          </cell>
          <cell r="F218" t="str">
            <v>3 phase(s)</v>
          </cell>
          <cell r="G218" t="str">
            <v>wire:OL-AL, 50 mm2</v>
          </cell>
          <cell r="H218" t="str">
            <v>Only the wire</v>
          </cell>
          <cell r="I218">
            <v>4320</v>
          </cell>
          <cell r="J218">
            <v>25</v>
          </cell>
          <cell r="K218">
            <v>0.95</v>
          </cell>
          <cell r="L218">
            <v>5</v>
          </cell>
          <cell r="M218">
            <v>0.04</v>
          </cell>
          <cell r="N218">
            <v>5</v>
          </cell>
          <cell r="O218">
            <v>8000</v>
          </cell>
          <cell r="P218">
            <v>0.1</v>
          </cell>
          <cell r="Q218">
            <v>0.4</v>
          </cell>
        </row>
        <row r="219">
          <cell r="B219" t="str">
            <v>Electric LinesAerial1 x 20 kV3 phase(s)wire:OL-AL, 70 mm2Concrete Pole</v>
          </cell>
          <cell r="C219" t="str">
            <v>Electric Lines</v>
          </cell>
          <cell r="D219" t="str">
            <v>Aerial</v>
          </cell>
          <cell r="E219" t="str">
            <v>1 x 20 kV</v>
          </cell>
          <cell r="F219" t="str">
            <v>3 phase(s)</v>
          </cell>
          <cell r="G219" t="str">
            <v>wire:OL-AL, 70 mm2</v>
          </cell>
          <cell r="H219" t="str">
            <v>Concrete Pole</v>
          </cell>
          <cell r="I219">
            <v>14040</v>
          </cell>
          <cell r="J219">
            <v>30</v>
          </cell>
          <cell r="K219">
            <v>0.95</v>
          </cell>
          <cell r="L219">
            <v>7</v>
          </cell>
          <cell r="M219">
            <v>0.04</v>
          </cell>
          <cell r="N219">
            <v>5</v>
          </cell>
          <cell r="O219">
            <v>26000</v>
          </cell>
          <cell r="P219">
            <v>0.1</v>
          </cell>
          <cell r="Q219">
            <v>0.4</v>
          </cell>
        </row>
        <row r="220">
          <cell r="B220" t="str">
            <v>Electric LinesAerial1 x 20 kV3 phase(s)wire:OL-AL, 70 mm2Metal Pole</v>
          </cell>
          <cell r="C220" t="str">
            <v>Electric Lines</v>
          </cell>
          <cell r="D220" t="str">
            <v>Aerial</v>
          </cell>
          <cell r="E220" t="str">
            <v>1 x 20 kV</v>
          </cell>
          <cell r="F220" t="str">
            <v>3 phase(s)</v>
          </cell>
          <cell r="G220" t="str">
            <v>wire:OL-AL, 70 mm2</v>
          </cell>
          <cell r="H220" t="str">
            <v>Metal Pole</v>
          </cell>
          <cell r="I220">
            <v>19980</v>
          </cell>
          <cell r="J220">
            <v>35</v>
          </cell>
          <cell r="K220">
            <v>0.95</v>
          </cell>
          <cell r="L220">
            <v>8</v>
          </cell>
          <cell r="M220">
            <v>0.04</v>
          </cell>
          <cell r="N220">
            <v>5</v>
          </cell>
          <cell r="O220">
            <v>37000</v>
          </cell>
          <cell r="P220">
            <v>0.1</v>
          </cell>
          <cell r="Q220">
            <v>0.4</v>
          </cell>
        </row>
        <row r="221">
          <cell r="B221" t="str">
            <v>Electric LinesAerial1 x 20 kV3 phase(s)wire:OL-AL, 70 mm2Wood Pole</v>
          </cell>
          <cell r="C221" t="str">
            <v>Electric Lines</v>
          </cell>
          <cell r="D221" t="str">
            <v>Aerial</v>
          </cell>
          <cell r="E221" t="str">
            <v>1 x 20 kV</v>
          </cell>
          <cell r="F221" t="str">
            <v>3 phase(s)</v>
          </cell>
          <cell r="G221" t="str">
            <v>wire:OL-AL, 70 mm2</v>
          </cell>
          <cell r="H221" t="str">
            <v>Wood Pole</v>
          </cell>
          <cell r="I221">
            <v>11880</v>
          </cell>
          <cell r="J221">
            <v>30</v>
          </cell>
          <cell r="K221">
            <v>0.95</v>
          </cell>
          <cell r="L221">
            <v>7</v>
          </cell>
          <cell r="M221">
            <v>0.04</v>
          </cell>
          <cell r="N221">
            <v>5</v>
          </cell>
          <cell r="O221">
            <v>22000</v>
          </cell>
          <cell r="P221">
            <v>0.1</v>
          </cell>
          <cell r="Q221">
            <v>0.4</v>
          </cell>
        </row>
        <row r="222">
          <cell r="B222" t="str">
            <v>Electric LinesAerial1 x 20 kV3 phase(s)wire:OL-AL, 70 mm2Only the wire</v>
          </cell>
          <cell r="C222" t="str">
            <v>Electric Lines</v>
          </cell>
          <cell r="D222" t="str">
            <v>Aerial</v>
          </cell>
          <cell r="E222" t="str">
            <v>1 x 20 kV</v>
          </cell>
          <cell r="F222" t="str">
            <v>3 phase(s)</v>
          </cell>
          <cell r="G222" t="str">
            <v>wire:OL-AL, 70 mm2</v>
          </cell>
          <cell r="H222" t="str">
            <v>Only the wire</v>
          </cell>
          <cell r="I222">
            <v>4320</v>
          </cell>
          <cell r="J222">
            <v>25</v>
          </cell>
          <cell r="K222">
            <v>0.95</v>
          </cell>
          <cell r="L222">
            <v>5</v>
          </cell>
          <cell r="M222">
            <v>0.04</v>
          </cell>
          <cell r="N222">
            <v>5</v>
          </cell>
          <cell r="O222">
            <v>8000</v>
          </cell>
          <cell r="P222">
            <v>0.1</v>
          </cell>
          <cell r="Q222">
            <v>0.4</v>
          </cell>
        </row>
        <row r="223">
          <cell r="B223" t="str">
            <v>Electric LinesAerial1 x 20 kV3 phase(s)wire:OL-AL, 85 mm2Concrete Pole</v>
          </cell>
          <cell r="C223" t="str">
            <v>Electric Lines</v>
          </cell>
          <cell r="D223" t="str">
            <v>Aerial</v>
          </cell>
          <cell r="E223" t="str">
            <v>1 x 20 kV</v>
          </cell>
          <cell r="F223" t="str">
            <v>3 phase(s)</v>
          </cell>
          <cell r="G223" t="str">
            <v>wire:OL-AL, 85 mm2</v>
          </cell>
          <cell r="H223" t="str">
            <v>Concrete Pole</v>
          </cell>
          <cell r="I223">
            <v>14580</v>
          </cell>
          <cell r="J223">
            <v>30</v>
          </cell>
          <cell r="K223">
            <v>0.95</v>
          </cell>
          <cell r="L223">
            <v>7</v>
          </cell>
          <cell r="M223">
            <v>0.04</v>
          </cell>
          <cell r="N223">
            <v>5</v>
          </cell>
          <cell r="O223">
            <v>27000</v>
          </cell>
          <cell r="P223">
            <v>0.1</v>
          </cell>
          <cell r="Q223">
            <v>0.4</v>
          </cell>
        </row>
        <row r="224">
          <cell r="B224" t="str">
            <v>Electric LinesAerial1 x 20 kV3 phase(s)wire:OL-AL, 85 mm2Metal Pole</v>
          </cell>
          <cell r="C224" t="str">
            <v>Electric Lines</v>
          </cell>
          <cell r="D224" t="str">
            <v>Aerial</v>
          </cell>
          <cell r="E224" t="str">
            <v>1 x 20 kV</v>
          </cell>
          <cell r="F224" t="str">
            <v>3 phase(s)</v>
          </cell>
          <cell r="G224" t="str">
            <v>wire:OL-AL, 85 mm2</v>
          </cell>
          <cell r="H224" t="str">
            <v>Metal Pole</v>
          </cell>
          <cell r="I224">
            <v>20520</v>
          </cell>
          <cell r="J224">
            <v>35</v>
          </cell>
          <cell r="K224">
            <v>0.95</v>
          </cell>
          <cell r="L224">
            <v>8</v>
          </cell>
          <cell r="M224">
            <v>0.04</v>
          </cell>
          <cell r="N224">
            <v>5</v>
          </cell>
          <cell r="O224">
            <v>38000</v>
          </cell>
          <cell r="P224">
            <v>0.1</v>
          </cell>
          <cell r="Q224">
            <v>0.4</v>
          </cell>
        </row>
        <row r="225">
          <cell r="B225" t="str">
            <v>Electric LinesAerial1 x 20 kV3 phase(s)wire:OL-AL, 85 mm2Wood Pole</v>
          </cell>
          <cell r="C225" t="str">
            <v>Electric Lines</v>
          </cell>
          <cell r="D225" t="str">
            <v>Aerial</v>
          </cell>
          <cell r="E225" t="str">
            <v>1 x 20 kV</v>
          </cell>
          <cell r="F225" t="str">
            <v>3 phase(s)</v>
          </cell>
          <cell r="G225" t="str">
            <v>wire:OL-AL, 85 mm2</v>
          </cell>
          <cell r="H225" t="str">
            <v>Wood Pole</v>
          </cell>
          <cell r="I225">
            <v>12420</v>
          </cell>
          <cell r="J225">
            <v>30</v>
          </cell>
          <cell r="K225">
            <v>0.95</v>
          </cell>
          <cell r="L225">
            <v>7</v>
          </cell>
          <cell r="M225">
            <v>0.04</v>
          </cell>
          <cell r="N225">
            <v>5</v>
          </cell>
          <cell r="O225">
            <v>23000</v>
          </cell>
          <cell r="P225">
            <v>0.1</v>
          </cell>
          <cell r="Q225">
            <v>0.4</v>
          </cell>
        </row>
        <row r="226">
          <cell r="B226" t="str">
            <v>Electric LinesAerial1 x 20 kV3 phase(s)wire:OL-AL, 85 mm2Only the wire</v>
          </cell>
          <cell r="C226" t="str">
            <v>Electric Lines</v>
          </cell>
          <cell r="D226" t="str">
            <v>Aerial</v>
          </cell>
          <cell r="E226" t="str">
            <v>1 x 20 kV</v>
          </cell>
          <cell r="F226" t="str">
            <v>3 phase(s)</v>
          </cell>
          <cell r="G226" t="str">
            <v>wire:OL-AL, 85 mm2</v>
          </cell>
          <cell r="H226" t="str">
            <v>Only the wire</v>
          </cell>
          <cell r="I226">
            <v>4320</v>
          </cell>
          <cell r="J226">
            <v>25</v>
          </cell>
          <cell r="K226">
            <v>0.95</v>
          </cell>
          <cell r="L226">
            <v>5</v>
          </cell>
          <cell r="M226">
            <v>0.04</v>
          </cell>
          <cell r="N226">
            <v>5</v>
          </cell>
          <cell r="O226">
            <v>8000</v>
          </cell>
          <cell r="P226">
            <v>0.1</v>
          </cell>
          <cell r="Q226">
            <v>0.4</v>
          </cell>
        </row>
        <row r="227">
          <cell r="B227" t="str">
            <v>Electric LinesAerial1 x 20 kV3 phase(s)wire:OL-AL, 90 mm2Concrete Pole</v>
          </cell>
          <cell r="C227" t="str">
            <v>Electric Lines</v>
          </cell>
          <cell r="D227" t="str">
            <v>Aerial</v>
          </cell>
          <cell r="E227" t="str">
            <v>1 x 20 kV</v>
          </cell>
          <cell r="F227" t="str">
            <v>3 phase(s)</v>
          </cell>
          <cell r="G227" t="str">
            <v>wire:OL-AL, 90 mm2</v>
          </cell>
          <cell r="H227" t="str">
            <v>Concrete Pole</v>
          </cell>
          <cell r="I227">
            <v>14580</v>
          </cell>
          <cell r="J227">
            <v>30</v>
          </cell>
          <cell r="K227">
            <v>0.95</v>
          </cell>
          <cell r="L227">
            <v>7</v>
          </cell>
          <cell r="M227">
            <v>0.04</v>
          </cell>
          <cell r="N227">
            <v>5</v>
          </cell>
          <cell r="O227">
            <v>27000</v>
          </cell>
          <cell r="P227">
            <v>0.1</v>
          </cell>
          <cell r="Q227">
            <v>0.4</v>
          </cell>
        </row>
        <row r="228">
          <cell r="B228" t="str">
            <v>Electric LinesAerial1 x 20 kV3 phase(s)wire:OL-AL, 90 mm2Metal Pole</v>
          </cell>
          <cell r="C228" t="str">
            <v>Electric Lines</v>
          </cell>
          <cell r="D228" t="str">
            <v>Aerial</v>
          </cell>
          <cell r="E228" t="str">
            <v>1 x 20 kV</v>
          </cell>
          <cell r="F228" t="str">
            <v>3 phase(s)</v>
          </cell>
          <cell r="G228" t="str">
            <v>wire:OL-AL, 90 mm2</v>
          </cell>
          <cell r="H228" t="str">
            <v>Metal Pole</v>
          </cell>
          <cell r="I228">
            <v>20520</v>
          </cell>
          <cell r="J228">
            <v>35</v>
          </cell>
          <cell r="K228">
            <v>0.95</v>
          </cell>
          <cell r="L228">
            <v>8</v>
          </cell>
          <cell r="M228">
            <v>0.04</v>
          </cell>
          <cell r="N228">
            <v>5</v>
          </cell>
          <cell r="O228">
            <v>38000</v>
          </cell>
          <cell r="P228">
            <v>0.1</v>
          </cell>
          <cell r="Q228">
            <v>0.4</v>
          </cell>
        </row>
        <row r="229">
          <cell r="B229" t="str">
            <v>Electric LinesAerial1 x 20 kV3 phase(s)wire:OL-AL, 90 mm2Wood Pole</v>
          </cell>
          <cell r="C229" t="str">
            <v>Electric Lines</v>
          </cell>
          <cell r="D229" t="str">
            <v>Aerial</v>
          </cell>
          <cell r="E229" t="str">
            <v>1 x 20 kV</v>
          </cell>
          <cell r="F229" t="str">
            <v>3 phase(s)</v>
          </cell>
          <cell r="G229" t="str">
            <v>wire:OL-AL, 90 mm2</v>
          </cell>
          <cell r="H229" t="str">
            <v>Wood Pole</v>
          </cell>
          <cell r="I229">
            <v>12420</v>
          </cell>
          <cell r="J229">
            <v>30</v>
          </cell>
          <cell r="K229">
            <v>0.95</v>
          </cell>
          <cell r="L229">
            <v>7</v>
          </cell>
          <cell r="M229">
            <v>0.04</v>
          </cell>
          <cell r="N229">
            <v>5</v>
          </cell>
          <cell r="O229">
            <v>23000</v>
          </cell>
          <cell r="P229">
            <v>0.1</v>
          </cell>
          <cell r="Q229">
            <v>0.4</v>
          </cell>
        </row>
        <row r="230">
          <cell r="B230" t="str">
            <v>Electric LinesAerial1 x 20 kV3 phase(s)wire:OL-AL, 90 mm2Only the wire</v>
          </cell>
          <cell r="C230" t="str">
            <v>Electric Lines</v>
          </cell>
          <cell r="D230" t="str">
            <v>Aerial</v>
          </cell>
          <cell r="E230" t="str">
            <v>1 x 20 kV</v>
          </cell>
          <cell r="F230" t="str">
            <v>3 phase(s)</v>
          </cell>
          <cell r="G230" t="str">
            <v>wire:OL-AL, 90 mm2</v>
          </cell>
          <cell r="H230" t="str">
            <v>Only the wire</v>
          </cell>
          <cell r="I230">
            <v>4320</v>
          </cell>
          <cell r="J230">
            <v>25</v>
          </cell>
          <cell r="K230">
            <v>0.95</v>
          </cell>
          <cell r="L230">
            <v>5</v>
          </cell>
          <cell r="M230">
            <v>0.04</v>
          </cell>
          <cell r="N230">
            <v>5</v>
          </cell>
          <cell r="O230">
            <v>8000</v>
          </cell>
          <cell r="P230">
            <v>0.1</v>
          </cell>
          <cell r="Q230">
            <v>0.4</v>
          </cell>
        </row>
        <row r="231">
          <cell r="B231" t="str">
            <v>Electric LinesAerial1 x 20 kV3 phase(s)wire:OL-AL, 95 mm2Concrete Pole</v>
          </cell>
          <cell r="C231" t="str">
            <v>Electric Lines</v>
          </cell>
          <cell r="D231" t="str">
            <v>Aerial</v>
          </cell>
          <cell r="E231" t="str">
            <v>1 x 20 kV</v>
          </cell>
          <cell r="F231" t="str">
            <v>3 phase(s)</v>
          </cell>
          <cell r="G231" t="str">
            <v>wire:OL-AL, 95 mm2</v>
          </cell>
          <cell r="H231" t="str">
            <v>Concrete Pole</v>
          </cell>
          <cell r="I231">
            <v>14580</v>
          </cell>
          <cell r="J231">
            <v>30</v>
          </cell>
          <cell r="K231">
            <v>0.95</v>
          </cell>
          <cell r="L231">
            <v>7</v>
          </cell>
          <cell r="M231">
            <v>0.04</v>
          </cell>
          <cell r="N231">
            <v>5</v>
          </cell>
          <cell r="O231">
            <v>27000</v>
          </cell>
          <cell r="P231">
            <v>0.1</v>
          </cell>
          <cell r="Q231">
            <v>0.4</v>
          </cell>
        </row>
        <row r="232">
          <cell r="B232" t="str">
            <v>Electric LinesAerial1 x 20 kV3 phase(s)wire:OL-AL, 95 mm2Metal Pole</v>
          </cell>
          <cell r="C232" t="str">
            <v>Electric Lines</v>
          </cell>
          <cell r="D232" t="str">
            <v>Aerial</v>
          </cell>
          <cell r="E232" t="str">
            <v>1 x 20 kV</v>
          </cell>
          <cell r="F232" t="str">
            <v>3 phase(s)</v>
          </cell>
          <cell r="G232" t="str">
            <v>wire:OL-AL, 95 mm2</v>
          </cell>
          <cell r="H232" t="str">
            <v>Metal Pole</v>
          </cell>
          <cell r="I232">
            <v>20520</v>
          </cell>
          <cell r="J232">
            <v>35</v>
          </cell>
          <cell r="K232">
            <v>0.95</v>
          </cell>
          <cell r="L232">
            <v>8</v>
          </cell>
          <cell r="M232">
            <v>0.04</v>
          </cell>
          <cell r="N232">
            <v>5</v>
          </cell>
          <cell r="O232">
            <v>38000</v>
          </cell>
          <cell r="P232">
            <v>0.1</v>
          </cell>
          <cell r="Q232">
            <v>0.4</v>
          </cell>
        </row>
        <row r="233">
          <cell r="B233" t="str">
            <v>Electric LinesAerial1 x 20 kV3 phase(s)wire:OL-AL, 95 mm2Wood Pole</v>
          </cell>
          <cell r="C233" t="str">
            <v>Electric Lines</v>
          </cell>
          <cell r="D233" t="str">
            <v>Aerial</v>
          </cell>
          <cell r="E233" t="str">
            <v>1 x 20 kV</v>
          </cell>
          <cell r="F233" t="str">
            <v>3 phase(s)</v>
          </cell>
          <cell r="G233" t="str">
            <v>wire:OL-AL, 95 mm2</v>
          </cell>
          <cell r="H233" t="str">
            <v>Wood Pole</v>
          </cell>
          <cell r="I233">
            <v>12420</v>
          </cell>
          <cell r="J233">
            <v>30</v>
          </cell>
          <cell r="K233">
            <v>0.95</v>
          </cell>
          <cell r="L233">
            <v>7</v>
          </cell>
          <cell r="M233">
            <v>0.04</v>
          </cell>
          <cell r="N233">
            <v>5</v>
          </cell>
          <cell r="O233">
            <v>23000</v>
          </cell>
          <cell r="P233">
            <v>0.1</v>
          </cell>
          <cell r="Q233">
            <v>0.4</v>
          </cell>
        </row>
        <row r="234">
          <cell r="B234" t="str">
            <v>Electric LinesAerial1 x 20 kV3 phase(s)wire:OL-AL, 95 mm2Only the wire</v>
          </cell>
          <cell r="C234" t="str">
            <v>Electric Lines</v>
          </cell>
          <cell r="D234" t="str">
            <v>Aerial</v>
          </cell>
          <cell r="E234" t="str">
            <v>1 x 20 kV</v>
          </cell>
          <cell r="F234" t="str">
            <v>3 phase(s)</v>
          </cell>
          <cell r="G234" t="str">
            <v>wire:OL-AL, 95 mm2</v>
          </cell>
          <cell r="H234" t="str">
            <v>Only the wire</v>
          </cell>
          <cell r="I234">
            <v>4320</v>
          </cell>
          <cell r="J234">
            <v>25</v>
          </cell>
          <cell r="K234">
            <v>0.95</v>
          </cell>
          <cell r="L234">
            <v>5</v>
          </cell>
          <cell r="M234">
            <v>0.04</v>
          </cell>
          <cell r="N234">
            <v>5</v>
          </cell>
          <cell r="O234">
            <v>8000</v>
          </cell>
          <cell r="P234">
            <v>0.1</v>
          </cell>
          <cell r="Q234">
            <v>0.4</v>
          </cell>
        </row>
        <row r="235">
          <cell r="B235" t="str">
            <v>Electric LinesAerial1 x 20 kV3 phase(s)wire:OL-AL, 120 mm2Concrete Pole</v>
          </cell>
          <cell r="C235" t="str">
            <v>Electric Lines</v>
          </cell>
          <cell r="D235" t="str">
            <v>Aerial</v>
          </cell>
          <cell r="E235" t="str">
            <v>1 x 20 kV</v>
          </cell>
          <cell r="F235" t="str">
            <v>3 phase(s)</v>
          </cell>
          <cell r="G235" t="str">
            <v>wire:OL-AL, 120 mm2</v>
          </cell>
          <cell r="H235" t="str">
            <v>Concrete Pole</v>
          </cell>
          <cell r="I235">
            <v>15120</v>
          </cell>
          <cell r="J235">
            <v>30</v>
          </cell>
          <cell r="K235">
            <v>0.95</v>
          </cell>
          <cell r="L235">
            <v>7</v>
          </cell>
          <cell r="M235">
            <v>0.04</v>
          </cell>
          <cell r="N235">
            <v>5</v>
          </cell>
          <cell r="O235">
            <v>28000</v>
          </cell>
          <cell r="P235">
            <v>0.1</v>
          </cell>
          <cell r="Q235">
            <v>0.4</v>
          </cell>
        </row>
        <row r="236">
          <cell r="B236" t="str">
            <v>Electric LinesAerial1 x 20 kV3 phase(s)wire:OL-AL, 120 mm2Metal Pole</v>
          </cell>
          <cell r="C236" t="str">
            <v>Electric Lines</v>
          </cell>
          <cell r="D236" t="str">
            <v>Aerial</v>
          </cell>
          <cell r="E236" t="str">
            <v>1 x 20 kV</v>
          </cell>
          <cell r="F236" t="str">
            <v>3 phase(s)</v>
          </cell>
          <cell r="G236" t="str">
            <v>wire:OL-AL, 120 mm2</v>
          </cell>
          <cell r="H236" t="str">
            <v>Metal Pole</v>
          </cell>
          <cell r="I236">
            <v>20520</v>
          </cell>
          <cell r="J236">
            <v>35</v>
          </cell>
          <cell r="K236">
            <v>0.95</v>
          </cell>
          <cell r="L236">
            <v>8</v>
          </cell>
          <cell r="M236">
            <v>0.04</v>
          </cell>
          <cell r="N236">
            <v>5</v>
          </cell>
          <cell r="O236">
            <v>38000</v>
          </cell>
          <cell r="P236">
            <v>0.1</v>
          </cell>
          <cell r="Q236">
            <v>0.4</v>
          </cell>
        </row>
        <row r="237">
          <cell r="B237" t="str">
            <v>Electric LinesAerial1 x 20 kV3 phase(s)wire:OL-AL, 120 mm2Wood Pole</v>
          </cell>
          <cell r="C237" t="str">
            <v>Electric Lines</v>
          </cell>
          <cell r="D237" t="str">
            <v>Aerial</v>
          </cell>
          <cell r="E237" t="str">
            <v>1 x 20 kV</v>
          </cell>
          <cell r="F237" t="str">
            <v>3 phase(s)</v>
          </cell>
          <cell r="G237" t="str">
            <v>wire:OL-AL, 120 mm2</v>
          </cell>
          <cell r="H237" t="str">
            <v>Wood Pole</v>
          </cell>
          <cell r="I237">
            <v>12420</v>
          </cell>
          <cell r="J237">
            <v>30</v>
          </cell>
          <cell r="K237">
            <v>0.95</v>
          </cell>
          <cell r="L237">
            <v>7</v>
          </cell>
          <cell r="M237">
            <v>0.04</v>
          </cell>
          <cell r="N237">
            <v>5</v>
          </cell>
          <cell r="O237">
            <v>23000</v>
          </cell>
          <cell r="P237">
            <v>0.1</v>
          </cell>
          <cell r="Q237">
            <v>0.4</v>
          </cell>
        </row>
        <row r="238">
          <cell r="B238" t="str">
            <v>Electric LinesAerial1 x 20 kV3 phase(s)wire:OL-AL, 120 mm2Only the wire</v>
          </cell>
          <cell r="C238" t="str">
            <v>Electric Lines</v>
          </cell>
          <cell r="D238" t="str">
            <v>Aerial</v>
          </cell>
          <cell r="E238" t="str">
            <v>1 x 20 kV</v>
          </cell>
          <cell r="F238" t="str">
            <v>3 phase(s)</v>
          </cell>
          <cell r="G238" t="str">
            <v>wire:OL-AL, 120 mm2</v>
          </cell>
          <cell r="H238" t="str">
            <v>Only the wire</v>
          </cell>
          <cell r="I238">
            <v>5400</v>
          </cell>
          <cell r="J238">
            <v>25</v>
          </cell>
          <cell r="K238">
            <v>0.95</v>
          </cell>
          <cell r="L238">
            <v>5</v>
          </cell>
          <cell r="M238">
            <v>0.04</v>
          </cell>
          <cell r="N238">
            <v>5</v>
          </cell>
          <cell r="O238">
            <v>10000</v>
          </cell>
          <cell r="P238">
            <v>0.1</v>
          </cell>
          <cell r="Q238">
            <v>0.4</v>
          </cell>
        </row>
        <row r="239">
          <cell r="B239" t="str">
            <v>Electric LinesAerial1 x 20 kV3 phase(s)wire:OL-AL, 150 mm2Concrete Pole</v>
          </cell>
          <cell r="C239" t="str">
            <v>Electric Lines</v>
          </cell>
          <cell r="D239" t="str">
            <v>Aerial</v>
          </cell>
          <cell r="E239" t="str">
            <v>1 x 20 kV</v>
          </cell>
          <cell r="F239" t="str">
            <v>3 phase(s)</v>
          </cell>
          <cell r="G239" t="str">
            <v>wire:OL-AL, 150 mm2</v>
          </cell>
          <cell r="H239" t="str">
            <v>Concrete Pole</v>
          </cell>
          <cell r="I239">
            <v>15660</v>
          </cell>
          <cell r="J239">
            <v>30</v>
          </cell>
          <cell r="K239">
            <v>0.95</v>
          </cell>
          <cell r="L239">
            <v>7</v>
          </cell>
          <cell r="M239">
            <v>0.04</v>
          </cell>
          <cell r="N239">
            <v>5</v>
          </cell>
          <cell r="O239">
            <v>29000</v>
          </cell>
          <cell r="P239">
            <v>0.1</v>
          </cell>
          <cell r="Q239">
            <v>0.4</v>
          </cell>
        </row>
        <row r="240">
          <cell r="B240" t="str">
            <v>Electric LinesAerial1 x 20 kV3 phase(s)wire:OL-AL, 150 mm2Metal Pole</v>
          </cell>
          <cell r="C240" t="str">
            <v>Electric Lines</v>
          </cell>
          <cell r="D240" t="str">
            <v>Aerial</v>
          </cell>
          <cell r="E240" t="str">
            <v>1 x 20 kV</v>
          </cell>
          <cell r="F240" t="str">
            <v>3 phase(s)</v>
          </cell>
          <cell r="G240" t="str">
            <v>wire:OL-AL, 150 mm2</v>
          </cell>
          <cell r="H240" t="str">
            <v>Metal Pole</v>
          </cell>
          <cell r="I240">
            <v>21060</v>
          </cell>
          <cell r="J240">
            <v>35</v>
          </cell>
          <cell r="K240">
            <v>0.95</v>
          </cell>
          <cell r="L240">
            <v>8</v>
          </cell>
          <cell r="M240">
            <v>0.04</v>
          </cell>
          <cell r="N240">
            <v>5</v>
          </cell>
          <cell r="O240">
            <v>39000</v>
          </cell>
          <cell r="P240">
            <v>0.1</v>
          </cell>
          <cell r="Q240">
            <v>0.4</v>
          </cell>
        </row>
        <row r="241">
          <cell r="B241" t="str">
            <v>Electric LinesAerial1 x 20 kV3 phase(s)wire:OL-AL, 150 mm2Wood Pole</v>
          </cell>
          <cell r="C241" t="str">
            <v>Electric Lines</v>
          </cell>
          <cell r="D241" t="str">
            <v>Aerial</v>
          </cell>
          <cell r="E241" t="str">
            <v>1 x 20 kV</v>
          </cell>
          <cell r="F241" t="str">
            <v>3 phase(s)</v>
          </cell>
          <cell r="G241" t="str">
            <v>wire:OL-AL, 150 mm2</v>
          </cell>
          <cell r="H241" t="str">
            <v>Wood Pole</v>
          </cell>
          <cell r="I241">
            <v>12960</v>
          </cell>
          <cell r="J241">
            <v>30</v>
          </cell>
          <cell r="K241">
            <v>0.95</v>
          </cell>
          <cell r="L241">
            <v>7</v>
          </cell>
          <cell r="M241">
            <v>0.04</v>
          </cell>
          <cell r="N241">
            <v>5</v>
          </cell>
          <cell r="O241">
            <v>24000</v>
          </cell>
          <cell r="P241">
            <v>0.1</v>
          </cell>
          <cell r="Q241">
            <v>0.4</v>
          </cell>
        </row>
        <row r="242">
          <cell r="B242" t="str">
            <v>Electric LinesAerial1 x 20 kV3 phase(s)wire:OL-AL, 150 mm2Only the wire</v>
          </cell>
          <cell r="C242" t="str">
            <v>Electric Lines</v>
          </cell>
          <cell r="D242" t="str">
            <v>Aerial</v>
          </cell>
          <cell r="E242" t="str">
            <v>1 x 20 kV</v>
          </cell>
          <cell r="F242" t="str">
            <v>3 phase(s)</v>
          </cell>
          <cell r="G242" t="str">
            <v>wire:OL-AL, 150 mm2</v>
          </cell>
          <cell r="H242" t="str">
            <v>Only the wire</v>
          </cell>
          <cell r="I242">
            <v>5400</v>
          </cell>
          <cell r="J242">
            <v>25</v>
          </cell>
          <cell r="K242">
            <v>0.95</v>
          </cell>
          <cell r="L242">
            <v>5</v>
          </cell>
          <cell r="M242">
            <v>0.04</v>
          </cell>
          <cell r="N242">
            <v>5</v>
          </cell>
          <cell r="O242">
            <v>10000</v>
          </cell>
          <cell r="P242">
            <v>0.1</v>
          </cell>
          <cell r="Q242">
            <v>0.4</v>
          </cell>
        </row>
        <row r="243">
          <cell r="B243" t="str">
            <v>Electric LinesAerial1 x 20 kV3 phase(s)wire:OL-AL, 185 mm2Concrete Pole</v>
          </cell>
          <cell r="C243" t="str">
            <v>Electric Lines</v>
          </cell>
          <cell r="D243" t="str">
            <v>Aerial</v>
          </cell>
          <cell r="E243" t="str">
            <v>1 x 20 kV</v>
          </cell>
          <cell r="F243" t="str">
            <v>3 phase(s)</v>
          </cell>
          <cell r="G243" t="str">
            <v>wire:OL-AL, 185 mm2</v>
          </cell>
          <cell r="H243" t="str">
            <v>Concrete Pole</v>
          </cell>
          <cell r="I243">
            <v>16200</v>
          </cell>
          <cell r="J243">
            <v>30</v>
          </cell>
          <cell r="K243">
            <v>0.95</v>
          </cell>
          <cell r="L243">
            <v>7</v>
          </cell>
          <cell r="M243">
            <v>0.04</v>
          </cell>
          <cell r="N243">
            <v>5</v>
          </cell>
          <cell r="O243">
            <v>30000</v>
          </cell>
          <cell r="P243">
            <v>0.1</v>
          </cell>
          <cell r="Q243">
            <v>0.4</v>
          </cell>
        </row>
        <row r="244">
          <cell r="B244" t="str">
            <v>Electric LinesAerial1 x 20 kV3 phase(s)wire:OL-AL, 185 mm2Metal Pole</v>
          </cell>
          <cell r="C244" t="str">
            <v>Electric Lines</v>
          </cell>
          <cell r="D244" t="str">
            <v>Aerial</v>
          </cell>
          <cell r="E244" t="str">
            <v>1 x 20 kV</v>
          </cell>
          <cell r="F244" t="str">
            <v>3 phase(s)</v>
          </cell>
          <cell r="G244" t="str">
            <v>wire:OL-AL, 185 mm2</v>
          </cell>
          <cell r="H244" t="str">
            <v>Metal Pole</v>
          </cell>
          <cell r="I244">
            <v>21600</v>
          </cell>
          <cell r="J244">
            <v>35</v>
          </cell>
          <cell r="K244">
            <v>0.95</v>
          </cell>
          <cell r="L244">
            <v>8</v>
          </cell>
          <cell r="M244">
            <v>0.04</v>
          </cell>
          <cell r="N244">
            <v>5</v>
          </cell>
          <cell r="O244">
            <v>40000</v>
          </cell>
          <cell r="P244">
            <v>0.1</v>
          </cell>
          <cell r="Q244">
            <v>0.4</v>
          </cell>
        </row>
        <row r="245">
          <cell r="B245" t="str">
            <v>Electric LinesAerial1 x 20 kV3 phase(s)wire:OL-AL, 185 mm2Wood Pole</v>
          </cell>
          <cell r="C245" t="str">
            <v>Electric Lines</v>
          </cell>
          <cell r="D245" t="str">
            <v>Aerial</v>
          </cell>
          <cell r="E245" t="str">
            <v>1 x 20 kV</v>
          </cell>
          <cell r="F245" t="str">
            <v>3 phase(s)</v>
          </cell>
          <cell r="G245" t="str">
            <v>wire:OL-AL, 185 mm2</v>
          </cell>
          <cell r="H245" t="str">
            <v>Wood Pole</v>
          </cell>
          <cell r="I245">
            <v>13500</v>
          </cell>
          <cell r="J245">
            <v>35</v>
          </cell>
          <cell r="K245">
            <v>0.95</v>
          </cell>
          <cell r="L245">
            <v>8</v>
          </cell>
          <cell r="M245">
            <v>0.04</v>
          </cell>
          <cell r="N245">
            <v>5</v>
          </cell>
          <cell r="O245">
            <v>25000</v>
          </cell>
          <cell r="P245">
            <v>0.1</v>
          </cell>
          <cell r="Q245">
            <v>0.4</v>
          </cell>
        </row>
        <row r="246">
          <cell r="B246" t="str">
            <v>Electric LinesAerial1 x 20 kV3 phase(s)wire:OL-AL, 185 mm2Only the wire</v>
          </cell>
          <cell r="C246" t="str">
            <v>Electric Lines</v>
          </cell>
          <cell r="D246" t="str">
            <v>Aerial</v>
          </cell>
          <cell r="E246" t="str">
            <v>1 x 20 kV</v>
          </cell>
          <cell r="F246" t="str">
            <v>3 phase(s)</v>
          </cell>
          <cell r="G246" t="str">
            <v>wire:OL-AL, 185 mm2</v>
          </cell>
          <cell r="H246" t="str">
            <v>Only the wire</v>
          </cell>
          <cell r="I246">
            <v>5400</v>
          </cell>
          <cell r="J246">
            <v>25</v>
          </cell>
          <cell r="K246">
            <v>0.95</v>
          </cell>
          <cell r="L246">
            <v>5</v>
          </cell>
          <cell r="M246">
            <v>0.04</v>
          </cell>
          <cell r="N246">
            <v>5</v>
          </cell>
          <cell r="O246">
            <v>10000</v>
          </cell>
          <cell r="P246">
            <v>0.1</v>
          </cell>
          <cell r="Q246">
            <v>0.4</v>
          </cell>
        </row>
        <row r="247">
          <cell r="B247" t="str">
            <v>Electric LinesAerial1 x 20 kV3 phase(s)wire:OAC 2X, 95 mm2Concrete Pole</v>
          </cell>
          <cell r="C247" t="str">
            <v>Electric Lines</v>
          </cell>
          <cell r="D247" t="str">
            <v>Aerial</v>
          </cell>
          <cell r="E247" t="str">
            <v>1 x 20 kV</v>
          </cell>
          <cell r="F247" t="str">
            <v>3 phase(s)</v>
          </cell>
          <cell r="G247" t="str">
            <v>wire:OAC 2X, 95 mm2</v>
          </cell>
          <cell r="H247" t="str">
            <v>Concrete Pole</v>
          </cell>
          <cell r="I247">
            <v>16200</v>
          </cell>
          <cell r="J247">
            <v>30</v>
          </cell>
          <cell r="K247">
            <v>0.95</v>
          </cell>
          <cell r="L247">
            <v>7</v>
          </cell>
          <cell r="M247">
            <v>0.04</v>
          </cell>
          <cell r="N247">
            <v>5</v>
          </cell>
          <cell r="O247">
            <v>30000</v>
          </cell>
          <cell r="P247">
            <v>0.1</v>
          </cell>
          <cell r="Q247">
            <v>0.4</v>
          </cell>
        </row>
        <row r="248">
          <cell r="B248" t="str">
            <v>Electric LinesAerial1 x 20 kV3 phase(s)wire:OAC 2X, 95 mm2Metal Pole</v>
          </cell>
          <cell r="C248" t="str">
            <v>Electric Lines</v>
          </cell>
          <cell r="D248" t="str">
            <v>Aerial</v>
          </cell>
          <cell r="E248" t="str">
            <v>1 x 20 kV</v>
          </cell>
          <cell r="F248" t="str">
            <v>3 phase(s)</v>
          </cell>
          <cell r="G248" t="str">
            <v>wire:OAC 2X, 95 mm2</v>
          </cell>
          <cell r="H248" t="str">
            <v>Metal Pole</v>
          </cell>
          <cell r="I248">
            <v>21600</v>
          </cell>
          <cell r="J248">
            <v>35</v>
          </cell>
          <cell r="K248">
            <v>0.95</v>
          </cell>
          <cell r="L248">
            <v>8</v>
          </cell>
          <cell r="M248">
            <v>0.04</v>
          </cell>
          <cell r="N248">
            <v>5</v>
          </cell>
          <cell r="O248">
            <v>40000</v>
          </cell>
          <cell r="P248">
            <v>0.1</v>
          </cell>
          <cell r="Q248">
            <v>0.4</v>
          </cell>
        </row>
        <row r="249">
          <cell r="B249" t="str">
            <v>Electric LinesAerial1 x 20 kV3 phase(s)wire:OAC 2X, 95 mm2Wood Pole</v>
          </cell>
          <cell r="C249" t="str">
            <v>Electric Lines</v>
          </cell>
          <cell r="D249" t="str">
            <v>Aerial</v>
          </cell>
          <cell r="E249" t="str">
            <v>1 x 20 kV</v>
          </cell>
          <cell r="F249" t="str">
            <v>3 phase(s)</v>
          </cell>
          <cell r="G249" t="str">
            <v>wire:OAC 2X, 95 mm2</v>
          </cell>
          <cell r="H249" t="str">
            <v>Wood Pole</v>
          </cell>
          <cell r="I249">
            <v>13500</v>
          </cell>
          <cell r="J249">
            <v>30</v>
          </cell>
          <cell r="K249">
            <v>0.95</v>
          </cell>
          <cell r="L249">
            <v>7</v>
          </cell>
          <cell r="M249">
            <v>0.04</v>
          </cell>
          <cell r="N249">
            <v>5</v>
          </cell>
          <cell r="O249">
            <v>25000</v>
          </cell>
          <cell r="P249">
            <v>0.1</v>
          </cell>
          <cell r="Q249">
            <v>0.4</v>
          </cell>
        </row>
        <row r="250">
          <cell r="B250" t="str">
            <v>Electric LinesAerial1 x 20 kV3 phase(s)wire:OAC 2X, 95 mm2Only the wire</v>
          </cell>
          <cell r="C250" t="str">
            <v>Electric Lines</v>
          </cell>
          <cell r="D250" t="str">
            <v>Aerial</v>
          </cell>
          <cell r="E250" t="str">
            <v>1 x 20 kV</v>
          </cell>
          <cell r="F250" t="str">
            <v>3 phase(s)</v>
          </cell>
          <cell r="G250" t="str">
            <v>wire:OAC 2X, 95 mm2</v>
          </cell>
          <cell r="H250" t="str">
            <v>Only the wire</v>
          </cell>
          <cell r="I250">
            <v>5400</v>
          </cell>
          <cell r="J250">
            <v>25</v>
          </cell>
          <cell r="K250">
            <v>0.95</v>
          </cell>
          <cell r="L250">
            <v>5</v>
          </cell>
          <cell r="M250">
            <v>0.04</v>
          </cell>
          <cell r="N250">
            <v>5</v>
          </cell>
          <cell r="O250">
            <v>10000</v>
          </cell>
          <cell r="P250">
            <v>0.1</v>
          </cell>
          <cell r="Q250">
            <v>0.4</v>
          </cell>
        </row>
        <row r="251">
          <cell r="B251" t="str">
            <v>Electric LinesAerial1 x 20 kV4 phase(s)wire:OL-AL, 50 mm2Concrete Pole</v>
          </cell>
          <cell r="C251" t="str">
            <v>Electric Lines</v>
          </cell>
          <cell r="D251" t="str">
            <v>Aerial</v>
          </cell>
          <cell r="E251" t="str">
            <v>1 x 20 kV</v>
          </cell>
          <cell r="F251" t="str">
            <v>4 phase(s)</v>
          </cell>
          <cell r="G251" t="str">
            <v>wire:OL-AL, 50 mm2</v>
          </cell>
          <cell r="H251" t="str">
            <v>Concrete Pole</v>
          </cell>
          <cell r="I251">
            <v>14580</v>
          </cell>
          <cell r="J251">
            <v>30</v>
          </cell>
          <cell r="K251">
            <v>0.95</v>
          </cell>
          <cell r="L251">
            <v>7</v>
          </cell>
          <cell r="M251">
            <v>0.04</v>
          </cell>
          <cell r="N251">
            <v>5</v>
          </cell>
          <cell r="O251">
            <v>27000</v>
          </cell>
          <cell r="P251">
            <v>0.1</v>
          </cell>
          <cell r="Q251">
            <v>0.4</v>
          </cell>
        </row>
        <row r="252">
          <cell r="B252" t="str">
            <v>Electric LinesAerial1 x 20 kV4 phase(s)wire:OL-AL, 50 mm2Metal Pole</v>
          </cell>
          <cell r="C252" t="str">
            <v>Electric Lines</v>
          </cell>
          <cell r="D252" t="str">
            <v>Aerial</v>
          </cell>
          <cell r="E252" t="str">
            <v>1 x 20 kV</v>
          </cell>
          <cell r="F252" t="str">
            <v>4 phase(s)</v>
          </cell>
          <cell r="G252" t="str">
            <v>wire:OL-AL, 50 mm2</v>
          </cell>
          <cell r="H252" t="str">
            <v>Metal Pole</v>
          </cell>
          <cell r="I252">
            <v>20520</v>
          </cell>
          <cell r="J252">
            <v>35</v>
          </cell>
          <cell r="K252">
            <v>0.95</v>
          </cell>
          <cell r="L252">
            <v>8</v>
          </cell>
          <cell r="M252">
            <v>0.04</v>
          </cell>
          <cell r="N252">
            <v>5</v>
          </cell>
          <cell r="O252">
            <v>38000</v>
          </cell>
          <cell r="P252">
            <v>0.1</v>
          </cell>
          <cell r="Q252">
            <v>0.4</v>
          </cell>
        </row>
        <row r="253">
          <cell r="B253" t="str">
            <v>Electric LinesAerial1 x 20 kV4 phase(s)wire:OL-AL, 50 mm2Wood Pole</v>
          </cell>
          <cell r="C253" t="str">
            <v>Electric Lines</v>
          </cell>
          <cell r="D253" t="str">
            <v>Aerial</v>
          </cell>
          <cell r="E253" t="str">
            <v>1 x 20 kV</v>
          </cell>
          <cell r="F253" t="str">
            <v>4 phase(s)</v>
          </cell>
          <cell r="G253" t="str">
            <v>wire:OL-AL, 50 mm2</v>
          </cell>
          <cell r="H253" t="str">
            <v>Wood Pole</v>
          </cell>
          <cell r="I253">
            <v>12420</v>
          </cell>
          <cell r="J253">
            <v>30</v>
          </cell>
          <cell r="K253">
            <v>0.95</v>
          </cell>
          <cell r="L253">
            <v>7</v>
          </cell>
          <cell r="M253">
            <v>0.04</v>
          </cell>
          <cell r="N253">
            <v>5</v>
          </cell>
          <cell r="O253">
            <v>23000</v>
          </cell>
          <cell r="P253">
            <v>0.1</v>
          </cell>
          <cell r="Q253">
            <v>0.4</v>
          </cell>
        </row>
        <row r="254">
          <cell r="B254" t="str">
            <v>Electric LinesAerial1 x 20 kV4 phase(s)wire:OL-AL, 50 mm2Only the wire</v>
          </cell>
          <cell r="C254" t="str">
            <v>Electric Lines</v>
          </cell>
          <cell r="D254" t="str">
            <v>Aerial</v>
          </cell>
          <cell r="E254" t="str">
            <v>1 x 20 kV</v>
          </cell>
          <cell r="F254" t="str">
            <v>4 phase(s)</v>
          </cell>
          <cell r="G254" t="str">
            <v>wire:OL-AL, 50 mm2</v>
          </cell>
          <cell r="H254" t="str">
            <v>Only the wire</v>
          </cell>
          <cell r="I254">
            <v>4320</v>
          </cell>
          <cell r="J254">
            <v>25</v>
          </cell>
          <cell r="K254">
            <v>0.95</v>
          </cell>
          <cell r="L254">
            <v>5</v>
          </cell>
          <cell r="M254">
            <v>0.04</v>
          </cell>
          <cell r="N254">
            <v>5</v>
          </cell>
          <cell r="O254">
            <v>8000</v>
          </cell>
          <cell r="P254">
            <v>0.1</v>
          </cell>
          <cell r="Q254">
            <v>0.4</v>
          </cell>
        </row>
        <row r="255">
          <cell r="B255" t="str">
            <v>Electric LinesAerial1 x 35 kV3 phase(s)wire:OL-AL, 95 mm2Concrete Pole</v>
          </cell>
          <cell r="C255" t="str">
            <v>Electric Lines</v>
          </cell>
          <cell r="D255" t="str">
            <v>Aerial</v>
          </cell>
          <cell r="E255" t="str">
            <v>1 x 35 kV</v>
          </cell>
          <cell r="F255" t="str">
            <v>3 phase(s)</v>
          </cell>
          <cell r="G255" t="str">
            <v>wire:OL-AL, 95 mm2</v>
          </cell>
          <cell r="H255" t="str">
            <v>Concrete Pole</v>
          </cell>
          <cell r="I255">
            <v>15660</v>
          </cell>
          <cell r="J255">
            <v>30</v>
          </cell>
          <cell r="K255">
            <v>0.95</v>
          </cell>
          <cell r="L255">
            <v>7</v>
          </cell>
          <cell r="M255">
            <v>0.04</v>
          </cell>
          <cell r="N255">
            <v>5</v>
          </cell>
          <cell r="O255">
            <v>29000</v>
          </cell>
          <cell r="P255">
            <v>0.1</v>
          </cell>
          <cell r="Q255">
            <v>0.4</v>
          </cell>
        </row>
        <row r="256">
          <cell r="B256" t="str">
            <v>Electric LinesAerial1 x 35 kV3 phase(s)wire:OL-AL, 95 mm2Metal Pole</v>
          </cell>
          <cell r="C256" t="str">
            <v>Electric Lines</v>
          </cell>
          <cell r="D256" t="str">
            <v>Aerial</v>
          </cell>
          <cell r="E256" t="str">
            <v>1 x 35 kV</v>
          </cell>
          <cell r="F256" t="str">
            <v>3 phase(s)</v>
          </cell>
          <cell r="G256" t="str">
            <v>wire:OL-AL, 95 mm2</v>
          </cell>
          <cell r="H256" t="str">
            <v>Metal Pole</v>
          </cell>
          <cell r="I256">
            <v>21600</v>
          </cell>
          <cell r="J256">
            <v>35</v>
          </cell>
          <cell r="K256">
            <v>0.95</v>
          </cell>
          <cell r="L256">
            <v>8</v>
          </cell>
          <cell r="M256">
            <v>0.04</v>
          </cell>
          <cell r="N256">
            <v>5</v>
          </cell>
          <cell r="O256">
            <v>40000</v>
          </cell>
          <cell r="P256">
            <v>0.1</v>
          </cell>
          <cell r="Q256">
            <v>0.4</v>
          </cell>
        </row>
        <row r="257">
          <cell r="B257" t="str">
            <v>Electric LinesAerial1 x 35 kV3 phase(s)wire:OL-AL, 95 mm2Wood Pole</v>
          </cell>
          <cell r="C257" t="str">
            <v>Electric Lines</v>
          </cell>
          <cell r="D257" t="str">
            <v>Aerial</v>
          </cell>
          <cell r="E257" t="str">
            <v>1 x 35 kV</v>
          </cell>
          <cell r="F257" t="str">
            <v>3 phase(s)</v>
          </cell>
          <cell r="G257" t="str">
            <v>wire:OL-AL, 95 mm2</v>
          </cell>
          <cell r="H257" t="str">
            <v>Wood Pole</v>
          </cell>
          <cell r="I257">
            <v>13500</v>
          </cell>
          <cell r="J257">
            <v>30</v>
          </cell>
          <cell r="K257">
            <v>0.95</v>
          </cell>
          <cell r="L257">
            <v>7</v>
          </cell>
          <cell r="M257">
            <v>0.04</v>
          </cell>
          <cell r="N257">
            <v>5</v>
          </cell>
          <cell r="O257">
            <v>25000</v>
          </cell>
          <cell r="P257">
            <v>0.1</v>
          </cell>
          <cell r="Q257">
            <v>0.4</v>
          </cell>
        </row>
        <row r="258">
          <cell r="B258" t="str">
            <v>Electric LinesAerial1 x 35 kV3 phase(s)wire:OL-AL, 95 mm2Only the wire</v>
          </cell>
          <cell r="C258" t="str">
            <v>Electric Lines</v>
          </cell>
          <cell r="D258" t="str">
            <v>Aerial</v>
          </cell>
          <cell r="E258" t="str">
            <v>1 x 35 kV</v>
          </cell>
          <cell r="F258" t="str">
            <v>3 phase(s)</v>
          </cell>
          <cell r="G258" t="str">
            <v>wire:OL-AL, 95 mm2</v>
          </cell>
          <cell r="H258" t="str">
            <v>Only the wire</v>
          </cell>
          <cell r="I258">
            <v>4320</v>
          </cell>
          <cell r="J258">
            <v>25</v>
          </cell>
          <cell r="K258">
            <v>0.95</v>
          </cell>
          <cell r="L258">
            <v>5</v>
          </cell>
          <cell r="M258">
            <v>0.04</v>
          </cell>
          <cell r="N258">
            <v>5</v>
          </cell>
          <cell r="O258">
            <v>8000</v>
          </cell>
          <cell r="P258">
            <v>0.1</v>
          </cell>
          <cell r="Q258">
            <v>0.4</v>
          </cell>
        </row>
        <row r="259">
          <cell r="B259" t="str">
            <v>Electric LinesAerial2 x 6 kV3 phase(s)wire:OL-AL, 50 mm2Concrete Pole</v>
          </cell>
          <cell r="C259" t="str">
            <v>Electric Lines</v>
          </cell>
          <cell r="D259" t="str">
            <v>Aerial</v>
          </cell>
          <cell r="E259" t="str">
            <v>2 x 6 kV</v>
          </cell>
          <cell r="F259" t="str">
            <v>3 phase(s)</v>
          </cell>
          <cell r="G259" t="str">
            <v>wire:OL-AL, 50 mm2</v>
          </cell>
          <cell r="H259" t="str">
            <v>Concrete Pole</v>
          </cell>
          <cell r="I259">
            <v>17280</v>
          </cell>
          <cell r="J259">
            <v>30</v>
          </cell>
          <cell r="K259">
            <v>0.95</v>
          </cell>
          <cell r="L259">
            <v>7</v>
          </cell>
          <cell r="M259">
            <v>0.04</v>
          </cell>
          <cell r="N259">
            <v>5</v>
          </cell>
          <cell r="O259">
            <v>32000</v>
          </cell>
          <cell r="P259">
            <v>0.1</v>
          </cell>
          <cell r="Q259">
            <v>0.4</v>
          </cell>
        </row>
        <row r="260">
          <cell r="B260" t="str">
            <v>Electric LinesAerial2 x 6 kV3 phase(s)wire:OL-AL, 50 mm2Metal Pole</v>
          </cell>
          <cell r="C260" t="str">
            <v>Electric Lines</v>
          </cell>
          <cell r="D260" t="str">
            <v>Aerial</v>
          </cell>
          <cell r="E260" t="str">
            <v>2 x 6 kV</v>
          </cell>
          <cell r="F260" t="str">
            <v>3 phase(s)</v>
          </cell>
          <cell r="G260" t="str">
            <v>wire:OL-AL, 50 mm2</v>
          </cell>
          <cell r="H260" t="str">
            <v>Metal Pole</v>
          </cell>
          <cell r="I260">
            <v>24300</v>
          </cell>
          <cell r="J260">
            <v>30</v>
          </cell>
          <cell r="K260">
            <v>0.95</v>
          </cell>
          <cell r="L260">
            <v>7</v>
          </cell>
          <cell r="M260">
            <v>0.04</v>
          </cell>
          <cell r="N260">
            <v>5</v>
          </cell>
          <cell r="O260">
            <v>45000</v>
          </cell>
          <cell r="P260">
            <v>0.1</v>
          </cell>
          <cell r="Q260">
            <v>0.4</v>
          </cell>
        </row>
        <row r="261">
          <cell r="B261" t="str">
            <v>Electric LinesAerial2 x 6 kV3 phase(s)wire:OL-AL, 50 mm2Wood Pole</v>
          </cell>
          <cell r="C261" t="str">
            <v>Electric Lines</v>
          </cell>
          <cell r="D261" t="str">
            <v>Aerial</v>
          </cell>
          <cell r="E261" t="str">
            <v>2 x 6 kV</v>
          </cell>
          <cell r="F261" t="str">
            <v>3 phase(s)</v>
          </cell>
          <cell r="G261" t="str">
            <v>wire:OL-AL, 50 mm2</v>
          </cell>
          <cell r="H261" t="str">
            <v>Wood Pole</v>
          </cell>
          <cell r="I261">
            <v>14580</v>
          </cell>
          <cell r="J261">
            <v>30</v>
          </cell>
          <cell r="K261">
            <v>0.95</v>
          </cell>
          <cell r="L261">
            <v>7</v>
          </cell>
          <cell r="M261">
            <v>0.04</v>
          </cell>
          <cell r="N261">
            <v>5</v>
          </cell>
          <cell r="O261">
            <v>27000</v>
          </cell>
          <cell r="P261">
            <v>0.1</v>
          </cell>
          <cell r="Q261">
            <v>0.4</v>
          </cell>
        </row>
        <row r="262">
          <cell r="B262" t="str">
            <v>Electric LinesAerial2 x 6 kV3 phase(s)wire:OL-AL, 50 mm2Only the wire</v>
          </cell>
          <cell r="C262" t="str">
            <v>Electric Lines</v>
          </cell>
          <cell r="D262" t="str">
            <v>Aerial</v>
          </cell>
          <cell r="E262" t="str">
            <v>2 x 6 kV</v>
          </cell>
          <cell r="F262" t="str">
            <v>3 phase(s)</v>
          </cell>
          <cell r="G262" t="str">
            <v>wire:OL-AL, 50 mm2</v>
          </cell>
          <cell r="H262" t="str">
            <v>Only the wire</v>
          </cell>
          <cell r="I262">
            <v>8640</v>
          </cell>
          <cell r="J262">
            <v>25</v>
          </cell>
          <cell r="K262">
            <v>0.95</v>
          </cell>
          <cell r="L262">
            <v>5</v>
          </cell>
          <cell r="M262">
            <v>0.04</v>
          </cell>
          <cell r="N262">
            <v>5</v>
          </cell>
          <cell r="O262">
            <v>16000</v>
          </cell>
          <cell r="P262">
            <v>0.1</v>
          </cell>
          <cell r="Q262">
            <v>0.4</v>
          </cell>
        </row>
        <row r="263">
          <cell r="B263" t="str">
            <v>Electric LinesAerial2 x 10 kV3 phase(s)wire:OL-AL, 35 mm2Concrete Pole</v>
          </cell>
          <cell r="C263" t="str">
            <v>Electric Lines</v>
          </cell>
          <cell r="D263" t="str">
            <v>Aerial</v>
          </cell>
          <cell r="E263" t="str">
            <v>2 x 10 kV</v>
          </cell>
          <cell r="F263" t="str">
            <v>3 phase(s)</v>
          </cell>
          <cell r="G263" t="str">
            <v>wire:OL-AL, 35 mm2</v>
          </cell>
          <cell r="H263" t="str">
            <v>Concrete Pole</v>
          </cell>
          <cell r="I263">
            <v>17280</v>
          </cell>
          <cell r="J263">
            <v>30</v>
          </cell>
          <cell r="K263">
            <v>0.95</v>
          </cell>
          <cell r="L263">
            <v>7</v>
          </cell>
          <cell r="M263">
            <v>0.04</v>
          </cell>
          <cell r="N263">
            <v>5</v>
          </cell>
          <cell r="O263">
            <v>32000</v>
          </cell>
          <cell r="P263">
            <v>0.1</v>
          </cell>
          <cell r="Q263">
            <v>0.4</v>
          </cell>
        </row>
        <row r="264">
          <cell r="B264" t="str">
            <v>Electric LinesAerial2 x 10 kV3 phase(s)wire:OL-AL, 35 mm2Metal Pole</v>
          </cell>
          <cell r="C264" t="str">
            <v>Electric Lines</v>
          </cell>
          <cell r="D264" t="str">
            <v>Aerial</v>
          </cell>
          <cell r="E264" t="str">
            <v>2 x 10 kV</v>
          </cell>
          <cell r="F264" t="str">
            <v>3 phase(s)</v>
          </cell>
          <cell r="G264" t="str">
            <v>wire:OL-AL, 35 mm2</v>
          </cell>
          <cell r="H264" t="str">
            <v>Metal Pole</v>
          </cell>
          <cell r="I264">
            <v>24300</v>
          </cell>
          <cell r="J264">
            <v>30</v>
          </cell>
          <cell r="K264">
            <v>0.95</v>
          </cell>
          <cell r="L264">
            <v>7</v>
          </cell>
          <cell r="M264">
            <v>0.04</v>
          </cell>
          <cell r="N264">
            <v>5</v>
          </cell>
          <cell r="O264">
            <v>45000</v>
          </cell>
          <cell r="P264">
            <v>0.1</v>
          </cell>
          <cell r="Q264">
            <v>0.4</v>
          </cell>
        </row>
        <row r="265">
          <cell r="B265" t="str">
            <v>Electric LinesAerial2 x 10 kV3 phase(s)wire:OL-AL, 35 mm2Wood Pole</v>
          </cell>
          <cell r="C265" t="str">
            <v>Electric Lines</v>
          </cell>
          <cell r="D265" t="str">
            <v>Aerial</v>
          </cell>
          <cell r="E265" t="str">
            <v>2 x 10 kV</v>
          </cell>
          <cell r="F265" t="str">
            <v>3 phase(s)</v>
          </cell>
          <cell r="G265" t="str">
            <v>wire:OL-AL, 35 mm2</v>
          </cell>
          <cell r="H265" t="str">
            <v>Wood Pole</v>
          </cell>
          <cell r="I265">
            <v>14580</v>
          </cell>
          <cell r="J265">
            <v>30</v>
          </cell>
          <cell r="K265">
            <v>0.95</v>
          </cell>
          <cell r="L265">
            <v>7</v>
          </cell>
          <cell r="M265">
            <v>0.04</v>
          </cell>
          <cell r="N265">
            <v>5</v>
          </cell>
          <cell r="O265">
            <v>27000</v>
          </cell>
          <cell r="P265">
            <v>0.1</v>
          </cell>
          <cell r="Q265">
            <v>0.4</v>
          </cell>
        </row>
        <row r="266">
          <cell r="B266" t="str">
            <v>Electric LinesAerial2 x 10 kV3 phase(s)wire:OL-AL, 35 mm2Only the wire</v>
          </cell>
          <cell r="C266" t="str">
            <v>Electric Lines</v>
          </cell>
          <cell r="D266" t="str">
            <v>Aerial</v>
          </cell>
          <cell r="E266" t="str">
            <v>2 x 10 kV</v>
          </cell>
          <cell r="F266" t="str">
            <v>3 phase(s)</v>
          </cell>
          <cell r="G266" t="str">
            <v>wire:OL-AL, 35 mm2</v>
          </cell>
          <cell r="H266" t="str">
            <v>Only the wire</v>
          </cell>
          <cell r="I266">
            <v>8640</v>
          </cell>
          <cell r="J266">
            <v>25</v>
          </cell>
          <cell r="K266">
            <v>0.95</v>
          </cell>
          <cell r="L266">
            <v>5</v>
          </cell>
          <cell r="M266">
            <v>0.04</v>
          </cell>
          <cell r="N266">
            <v>5</v>
          </cell>
          <cell r="O266">
            <v>16000</v>
          </cell>
          <cell r="P266">
            <v>0.1</v>
          </cell>
          <cell r="Q266">
            <v>0.4</v>
          </cell>
        </row>
        <row r="267">
          <cell r="B267" t="str">
            <v>Electric LinesAerial2 x 20 kV3 phase(s)wire:OL-AL, 35 mm2Concrete Pole</v>
          </cell>
          <cell r="C267" t="str">
            <v>Electric Lines</v>
          </cell>
          <cell r="D267" t="str">
            <v>Aerial</v>
          </cell>
          <cell r="E267" t="str">
            <v>2 x 20 kV</v>
          </cell>
          <cell r="F267" t="str">
            <v>3 phase(s)</v>
          </cell>
          <cell r="G267" t="str">
            <v>wire:OL-AL, 35 mm2</v>
          </cell>
          <cell r="H267" t="str">
            <v>Concrete Pole</v>
          </cell>
          <cell r="I267">
            <v>17280</v>
          </cell>
          <cell r="J267">
            <v>30</v>
          </cell>
          <cell r="K267">
            <v>0.95</v>
          </cell>
          <cell r="L267">
            <v>7</v>
          </cell>
          <cell r="M267">
            <v>0.04</v>
          </cell>
          <cell r="N267">
            <v>5</v>
          </cell>
          <cell r="O267">
            <v>32000</v>
          </cell>
          <cell r="P267">
            <v>0.1</v>
          </cell>
          <cell r="Q267">
            <v>0.4</v>
          </cell>
        </row>
        <row r="268">
          <cell r="B268" t="str">
            <v>Electric LinesAerial2 x 20 kV3 phase(s)wire:OL-AL, 35 mm2Metal Pole</v>
          </cell>
          <cell r="C268" t="str">
            <v>Electric Lines</v>
          </cell>
          <cell r="D268" t="str">
            <v>Aerial</v>
          </cell>
          <cell r="E268" t="str">
            <v>2 x 20 kV</v>
          </cell>
          <cell r="F268" t="str">
            <v>3 phase(s)</v>
          </cell>
          <cell r="G268" t="str">
            <v>wire:OL-AL, 35 mm2</v>
          </cell>
          <cell r="H268" t="str">
            <v>Metal Pole</v>
          </cell>
          <cell r="I268">
            <v>24840</v>
          </cell>
          <cell r="J268">
            <v>35</v>
          </cell>
          <cell r="K268">
            <v>0.95</v>
          </cell>
          <cell r="L268">
            <v>8</v>
          </cell>
          <cell r="M268">
            <v>0.04</v>
          </cell>
          <cell r="N268">
            <v>5</v>
          </cell>
          <cell r="O268">
            <v>46000</v>
          </cell>
          <cell r="P268">
            <v>0.1</v>
          </cell>
          <cell r="Q268">
            <v>0.4</v>
          </cell>
        </row>
        <row r="269">
          <cell r="B269" t="str">
            <v>Electric LinesAerial2 x 20 kV3 phase(s)wire:OL-AL, 35 mm2Wood Pole</v>
          </cell>
          <cell r="C269" t="str">
            <v>Electric Lines</v>
          </cell>
          <cell r="D269" t="str">
            <v>Aerial</v>
          </cell>
          <cell r="E269" t="str">
            <v>2 x 20 kV</v>
          </cell>
          <cell r="F269" t="str">
            <v>3 phase(s)</v>
          </cell>
          <cell r="G269" t="str">
            <v>wire:OL-AL, 35 mm2</v>
          </cell>
          <cell r="H269" t="str">
            <v>Wood Pole</v>
          </cell>
          <cell r="I269">
            <v>14580</v>
          </cell>
          <cell r="J269">
            <v>30</v>
          </cell>
          <cell r="K269">
            <v>0.95</v>
          </cell>
          <cell r="L269">
            <v>7</v>
          </cell>
          <cell r="M269">
            <v>0.04</v>
          </cell>
          <cell r="N269">
            <v>5</v>
          </cell>
          <cell r="O269">
            <v>27000</v>
          </cell>
          <cell r="P269">
            <v>0.1</v>
          </cell>
          <cell r="Q269">
            <v>0.4</v>
          </cell>
        </row>
        <row r="270">
          <cell r="B270" t="str">
            <v>Electric LinesAerial2 x 20 kV3 phase(s)wire:OL-AL, 35 mm2Only the wire</v>
          </cell>
          <cell r="C270" t="str">
            <v>Electric Lines</v>
          </cell>
          <cell r="D270" t="str">
            <v>Aerial</v>
          </cell>
          <cell r="E270" t="str">
            <v>2 x 20 kV</v>
          </cell>
          <cell r="F270" t="str">
            <v>3 phase(s)</v>
          </cell>
          <cell r="G270" t="str">
            <v>wire:OL-AL, 35 mm2</v>
          </cell>
          <cell r="H270" t="str">
            <v>Only the wire</v>
          </cell>
          <cell r="I270">
            <v>8100</v>
          </cell>
          <cell r="J270">
            <v>25</v>
          </cell>
          <cell r="K270">
            <v>0.95</v>
          </cell>
          <cell r="L270">
            <v>5</v>
          </cell>
          <cell r="M270">
            <v>0.04</v>
          </cell>
          <cell r="N270">
            <v>5</v>
          </cell>
          <cell r="O270">
            <v>15000</v>
          </cell>
          <cell r="P270">
            <v>0.1</v>
          </cell>
          <cell r="Q270">
            <v>0.4</v>
          </cell>
        </row>
        <row r="271">
          <cell r="B271" t="str">
            <v>Electric LinesAerial2 x 20 kV3 phase(s)wire:OL-AL, 50 mm2Concrete Pole</v>
          </cell>
          <cell r="C271" t="str">
            <v>Electric Lines</v>
          </cell>
          <cell r="D271" t="str">
            <v>Aerial</v>
          </cell>
          <cell r="E271" t="str">
            <v>2 x 20 kV</v>
          </cell>
          <cell r="F271" t="str">
            <v>3 phase(s)</v>
          </cell>
          <cell r="G271" t="str">
            <v>wire:OL-AL, 50 mm2</v>
          </cell>
          <cell r="H271" t="str">
            <v>Concrete Pole</v>
          </cell>
          <cell r="I271">
            <v>17820</v>
          </cell>
          <cell r="J271">
            <v>30</v>
          </cell>
          <cell r="K271">
            <v>0.95</v>
          </cell>
          <cell r="L271">
            <v>7</v>
          </cell>
          <cell r="M271">
            <v>0.04</v>
          </cell>
          <cell r="N271">
            <v>5</v>
          </cell>
          <cell r="O271">
            <v>33000</v>
          </cell>
          <cell r="P271">
            <v>0.1</v>
          </cell>
          <cell r="Q271">
            <v>0.4</v>
          </cell>
        </row>
        <row r="272">
          <cell r="B272" t="str">
            <v>Electric LinesAerial2 x 20 kV3 phase(s)wire:OL-AL, 50 mm2Metal Pole</v>
          </cell>
          <cell r="C272" t="str">
            <v>Electric Lines</v>
          </cell>
          <cell r="D272" t="str">
            <v>Aerial</v>
          </cell>
          <cell r="E272" t="str">
            <v>2 x 20 kV</v>
          </cell>
          <cell r="F272" t="str">
            <v>3 phase(s)</v>
          </cell>
          <cell r="G272" t="str">
            <v>wire:OL-AL, 50 mm2</v>
          </cell>
          <cell r="H272" t="str">
            <v>Metal Pole</v>
          </cell>
          <cell r="I272">
            <v>25380</v>
          </cell>
          <cell r="J272">
            <v>35</v>
          </cell>
          <cell r="K272">
            <v>0.95</v>
          </cell>
          <cell r="L272">
            <v>8</v>
          </cell>
          <cell r="M272">
            <v>0.04</v>
          </cell>
          <cell r="N272">
            <v>5</v>
          </cell>
          <cell r="O272">
            <v>47000</v>
          </cell>
          <cell r="P272">
            <v>0.1</v>
          </cell>
          <cell r="Q272">
            <v>0.4</v>
          </cell>
        </row>
        <row r="273">
          <cell r="B273" t="str">
            <v>Electric LinesAerial2 x 20 kV3 phase(s)wire:OL-AL, 50 mm2Wood Pole</v>
          </cell>
          <cell r="C273" t="str">
            <v>Electric Lines</v>
          </cell>
          <cell r="D273" t="str">
            <v>Aerial</v>
          </cell>
          <cell r="E273" t="str">
            <v>2 x 20 kV</v>
          </cell>
          <cell r="F273" t="str">
            <v>3 phase(s)</v>
          </cell>
          <cell r="G273" t="str">
            <v>wire:OL-AL, 50 mm2</v>
          </cell>
          <cell r="H273" t="str">
            <v>Wood Pole</v>
          </cell>
          <cell r="I273">
            <v>15120</v>
          </cell>
          <cell r="J273">
            <v>30</v>
          </cell>
          <cell r="K273">
            <v>0.95</v>
          </cell>
          <cell r="L273">
            <v>7</v>
          </cell>
          <cell r="M273">
            <v>0.04</v>
          </cell>
          <cell r="N273">
            <v>5</v>
          </cell>
          <cell r="O273">
            <v>28000</v>
          </cell>
          <cell r="P273">
            <v>0.1</v>
          </cell>
          <cell r="Q273">
            <v>0.4</v>
          </cell>
        </row>
        <row r="274">
          <cell r="B274" t="str">
            <v>Electric LinesAerial2 x 20 kV3 phase(s)wire:OL-AL, 50 mm2Only the wire</v>
          </cell>
          <cell r="C274" t="str">
            <v>Electric Lines</v>
          </cell>
          <cell r="D274" t="str">
            <v>Aerial</v>
          </cell>
          <cell r="E274" t="str">
            <v>2 x 20 kV</v>
          </cell>
          <cell r="F274" t="str">
            <v>3 phase(s)</v>
          </cell>
          <cell r="G274" t="str">
            <v>wire:OL-AL, 50 mm2</v>
          </cell>
          <cell r="H274" t="str">
            <v>Only the wire</v>
          </cell>
          <cell r="I274">
            <v>8100</v>
          </cell>
          <cell r="J274">
            <v>25</v>
          </cell>
          <cell r="K274">
            <v>0.95</v>
          </cell>
          <cell r="L274">
            <v>5</v>
          </cell>
          <cell r="M274">
            <v>0.04</v>
          </cell>
          <cell r="N274">
            <v>5</v>
          </cell>
          <cell r="O274">
            <v>15000</v>
          </cell>
          <cell r="P274">
            <v>0.1</v>
          </cell>
          <cell r="Q274">
            <v>0.4</v>
          </cell>
        </row>
        <row r="275">
          <cell r="B275" t="str">
            <v>Electric LinesAerial2 x 20 kV3 phase(s)wire:OL-AL, 70 mm2Concrete Pole</v>
          </cell>
          <cell r="C275" t="str">
            <v>Electric Lines</v>
          </cell>
          <cell r="D275" t="str">
            <v>Aerial</v>
          </cell>
          <cell r="E275" t="str">
            <v>2 x 20 kV</v>
          </cell>
          <cell r="F275" t="str">
            <v>3 phase(s)</v>
          </cell>
          <cell r="G275" t="str">
            <v>wire:OL-AL, 70 mm2</v>
          </cell>
          <cell r="H275" t="str">
            <v>Concrete Pole</v>
          </cell>
          <cell r="I275">
            <v>18360</v>
          </cell>
          <cell r="J275">
            <v>30</v>
          </cell>
          <cell r="K275">
            <v>0.95</v>
          </cell>
          <cell r="L275">
            <v>7</v>
          </cell>
          <cell r="M275">
            <v>0.04</v>
          </cell>
          <cell r="N275">
            <v>5</v>
          </cell>
          <cell r="O275">
            <v>34000</v>
          </cell>
          <cell r="P275">
            <v>0.1</v>
          </cell>
          <cell r="Q275">
            <v>0.4</v>
          </cell>
        </row>
        <row r="276">
          <cell r="B276" t="str">
            <v>Electric LinesAerial2 x 20 kV3 phase(s)wire:OL-AL, 70 mm2Metal Pole</v>
          </cell>
          <cell r="C276" t="str">
            <v>Electric Lines</v>
          </cell>
          <cell r="D276" t="str">
            <v>Aerial</v>
          </cell>
          <cell r="E276" t="str">
            <v>2 x 20 kV</v>
          </cell>
          <cell r="F276" t="str">
            <v>3 phase(s)</v>
          </cell>
          <cell r="G276" t="str">
            <v>wire:OL-AL, 70 mm2</v>
          </cell>
          <cell r="H276" t="str">
            <v>Metal Pole</v>
          </cell>
          <cell r="I276">
            <v>26460</v>
          </cell>
          <cell r="J276">
            <v>35</v>
          </cell>
          <cell r="K276">
            <v>0.95</v>
          </cell>
          <cell r="L276">
            <v>8</v>
          </cell>
          <cell r="M276">
            <v>0.04</v>
          </cell>
          <cell r="N276">
            <v>5</v>
          </cell>
          <cell r="O276">
            <v>49000</v>
          </cell>
          <cell r="P276">
            <v>0.1</v>
          </cell>
          <cell r="Q276">
            <v>0.4</v>
          </cell>
        </row>
        <row r="277">
          <cell r="B277" t="str">
            <v>Electric LinesAerial2 x 20 kV3 phase(s)wire:OL-AL, 70 mm2Wood Pole</v>
          </cell>
          <cell r="C277" t="str">
            <v>Electric Lines</v>
          </cell>
          <cell r="D277" t="str">
            <v>Aerial</v>
          </cell>
          <cell r="E277" t="str">
            <v>2 x 20 kV</v>
          </cell>
          <cell r="F277" t="str">
            <v>3 phase(s)</v>
          </cell>
          <cell r="G277" t="str">
            <v>wire:OL-AL, 70 mm2</v>
          </cell>
          <cell r="H277" t="str">
            <v>Wood Pole</v>
          </cell>
          <cell r="I277">
            <v>15660</v>
          </cell>
          <cell r="J277">
            <v>30</v>
          </cell>
          <cell r="K277">
            <v>0.95</v>
          </cell>
          <cell r="L277">
            <v>7</v>
          </cell>
          <cell r="M277">
            <v>0.04</v>
          </cell>
          <cell r="N277">
            <v>5</v>
          </cell>
          <cell r="O277">
            <v>29000</v>
          </cell>
          <cell r="P277">
            <v>0.1</v>
          </cell>
          <cell r="Q277">
            <v>0.4</v>
          </cell>
        </row>
        <row r="278">
          <cell r="B278" t="str">
            <v>Electric LinesAerial2 x 20 kV3 phase(s)wire:OL-AL, 70 mm2Only the wire</v>
          </cell>
          <cell r="C278" t="str">
            <v>Electric Lines</v>
          </cell>
          <cell r="D278" t="str">
            <v>Aerial</v>
          </cell>
          <cell r="E278" t="str">
            <v>2 x 20 kV</v>
          </cell>
          <cell r="F278" t="str">
            <v>3 phase(s)</v>
          </cell>
          <cell r="G278" t="str">
            <v>wire:OL-AL, 70 mm2</v>
          </cell>
          <cell r="H278" t="str">
            <v>Only the wire</v>
          </cell>
          <cell r="I278">
            <v>8640</v>
          </cell>
          <cell r="J278">
            <v>25</v>
          </cell>
          <cell r="K278">
            <v>0.95</v>
          </cell>
          <cell r="L278">
            <v>5</v>
          </cell>
          <cell r="M278">
            <v>0.04</v>
          </cell>
          <cell r="N278">
            <v>5</v>
          </cell>
          <cell r="O278">
            <v>16000</v>
          </cell>
          <cell r="P278">
            <v>0.1</v>
          </cell>
          <cell r="Q278">
            <v>0.4</v>
          </cell>
        </row>
        <row r="279">
          <cell r="B279" t="str">
            <v>Electric LinesAerial2 x 20 kV3 phase(s)wire:OL-AL, 95 mm2Concrete Pole</v>
          </cell>
          <cell r="C279" t="str">
            <v>Electric Lines</v>
          </cell>
          <cell r="D279" t="str">
            <v>Aerial</v>
          </cell>
          <cell r="E279" t="str">
            <v>2 x 20 kV</v>
          </cell>
          <cell r="F279" t="str">
            <v>3 phase(s)</v>
          </cell>
          <cell r="G279" t="str">
            <v>wire:OL-AL, 95 mm2</v>
          </cell>
          <cell r="H279" t="str">
            <v>Concrete Pole</v>
          </cell>
          <cell r="I279">
            <v>18900</v>
          </cell>
          <cell r="J279">
            <v>30</v>
          </cell>
          <cell r="K279">
            <v>0.95</v>
          </cell>
          <cell r="L279">
            <v>7</v>
          </cell>
          <cell r="M279">
            <v>0.04</v>
          </cell>
          <cell r="N279">
            <v>5</v>
          </cell>
          <cell r="O279">
            <v>35000</v>
          </cell>
          <cell r="P279">
            <v>0.1</v>
          </cell>
          <cell r="Q279">
            <v>0.4</v>
          </cell>
        </row>
        <row r="280">
          <cell r="B280" t="str">
            <v>Electric LinesAerial2 x 20 kV3 phase(s)wire:OL-AL, 95 mm2Metal Pole</v>
          </cell>
          <cell r="C280" t="str">
            <v>Electric Lines</v>
          </cell>
          <cell r="D280" t="str">
            <v>Aerial</v>
          </cell>
          <cell r="E280" t="str">
            <v>2 x 20 kV</v>
          </cell>
          <cell r="F280" t="str">
            <v>3 phase(s)</v>
          </cell>
          <cell r="G280" t="str">
            <v>wire:OL-AL, 95 mm2</v>
          </cell>
          <cell r="H280" t="str">
            <v>Metal Pole</v>
          </cell>
          <cell r="I280">
            <v>27000</v>
          </cell>
          <cell r="J280">
            <v>35</v>
          </cell>
          <cell r="K280">
            <v>0.95</v>
          </cell>
          <cell r="L280">
            <v>8</v>
          </cell>
          <cell r="M280">
            <v>0.04</v>
          </cell>
          <cell r="N280">
            <v>5</v>
          </cell>
          <cell r="O280">
            <v>50000</v>
          </cell>
          <cell r="P280">
            <v>0.1</v>
          </cell>
          <cell r="Q280">
            <v>0.4</v>
          </cell>
        </row>
        <row r="281">
          <cell r="B281" t="str">
            <v>Electric LinesAerial2 x 20 kV3 phase(s)wire:OL-AL, 95 mm2Wood Pole</v>
          </cell>
          <cell r="C281" t="str">
            <v>Electric Lines</v>
          </cell>
          <cell r="D281" t="str">
            <v>Aerial</v>
          </cell>
          <cell r="E281" t="str">
            <v>2 x 20 kV</v>
          </cell>
          <cell r="F281" t="str">
            <v>3 phase(s)</v>
          </cell>
          <cell r="G281" t="str">
            <v>wire:OL-AL, 95 mm2</v>
          </cell>
          <cell r="H281" t="str">
            <v>Wood Pole</v>
          </cell>
          <cell r="I281">
            <v>16200</v>
          </cell>
          <cell r="J281">
            <v>30</v>
          </cell>
          <cell r="K281">
            <v>0.95</v>
          </cell>
          <cell r="L281">
            <v>7</v>
          </cell>
          <cell r="M281">
            <v>0.04</v>
          </cell>
          <cell r="N281">
            <v>5</v>
          </cell>
          <cell r="O281">
            <v>30000</v>
          </cell>
          <cell r="P281">
            <v>0.1</v>
          </cell>
          <cell r="Q281">
            <v>0.4</v>
          </cell>
        </row>
        <row r="282">
          <cell r="B282" t="str">
            <v>Electric LinesAerial2 x 20 kV3 phase(s)wire:OL-AL, 95 mm2Only the wire</v>
          </cell>
          <cell r="C282" t="str">
            <v>Electric Lines</v>
          </cell>
          <cell r="D282" t="str">
            <v>Aerial</v>
          </cell>
          <cell r="E282" t="str">
            <v>2 x 20 kV</v>
          </cell>
          <cell r="F282" t="str">
            <v>3 phase(s)</v>
          </cell>
          <cell r="G282" t="str">
            <v>wire:OL-AL, 95 mm2</v>
          </cell>
          <cell r="H282" t="str">
            <v>Only the wire</v>
          </cell>
          <cell r="I282">
            <v>8640</v>
          </cell>
          <cell r="J282">
            <v>25</v>
          </cell>
          <cell r="K282">
            <v>0.95</v>
          </cell>
          <cell r="L282">
            <v>5</v>
          </cell>
          <cell r="M282">
            <v>0.04</v>
          </cell>
          <cell r="N282">
            <v>5</v>
          </cell>
          <cell r="O282">
            <v>16000</v>
          </cell>
          <cell r="P282">
            <v>0.1</v>
          </cell>
          <cell r="Q282">
            <v>0.4</v>
          </cell>
        </row>
        <row r="283">
          <cell r="B283" t="str">
            <v>Electric LinesAerial1 x 0.4 kV1 phase(s)wire:AL, 16 mm2Concrete Pole</v>
          </cell>
          <cell r="C283" t="str">
            <v>Electric Lines</v>
          </cell>
          <cell r="D283" t="str">
            <v>Aerial</v>
          </cell>
          <cell r="E283" t="str">
            <v>1 x 0.4 kV</v>
          </cell>
          <cell r="F283" t="str">
            <v>1 phase(s)</v>
          </cell>
          <cell r="G283" t="str">
            <v>wire:AL, 16 mm2</v>
          </cell>
          <cell r="H283" t="str">
            <v>Concrete Pole</v>
          </cell>
          <cell r="I283">
            <v>8302.5</v>
          </cell>
          <cell r="J283">
            <v>30</v>
          </cell>
          <cell r="K283">
            <v>0.95</v>
          </cell>
          <cell r="L283">
            <v>7</v>
          </cell>
          <cell r="M283">
            <v>0.04</v>
          </cell>
          <cell r="N283">
            <v>5</v>
          </cell>
          <cell r="O283">
            <v>12300</v>
          </cell>
          <cell r="P283">
            <v>0.1</v>
          </cell>
          <cell r="Q283">
            <v>0.25</v>
          </cell>
        </row>
        <row r="284">
          <cell r="B284" t="str">
            <v>Electric LinesAerial1 x 0.4 kV1 phase(s)wire:AL, 16 mm2Metal Pole</v>
          </cell>
          <cell r="C284" t="str">
            <v>Electric Lines</v>
          </cell>
          <cell r="D284" t="str">
            <v>Aerial</v>
          </cell>
          <cell r="E284" t="str">
            <v>1 x 0.4 kV</v>
          </cell>
          <cell r="F284" t="str">
            <v>1 phase(s)</v>
          </cell>
          <cell r="G284" t="str">
            <v>wire:AL, 16 mm2</v>
          </cell>
          <cell r="H284" t="str">
            <v>Metal Pole</v>
          </cell>
          <cell r="I284">
            <v>11272.5</v>
          </cell>
          <cell r="J284">
            <v>30</v>
          </cell>
          <cell r="K284">
            <v>0.95</v>
          </cell>
          <cell r="L284">
            <v>7</v>
          </cell>
          <cell r="M284">
            <v>0.04</v>
          </cell>
          <cell r="N284">
            <v>5</v>
          </cell>
          <cell r="O284">
            <v>16700</v>
          </cell>
          <cell r="P284">
            <v>0.1</v>
          </cell>
          <cell r="Q284">
            <v>0.25</v>
          </cell>
        </row>
        <row r="285">
          <cell r="B285" t="str">
            <v>Electric LinesAerial1 x 0.4 kV1 phase(s)wire:AL, 16 mm2Wood Pole</v>
          </cell>
          <cell r="C285" t="str">
            <v>Electric Lines</v>
          </cell>
          <cell r="D285" t="str">
            <v>Aerial</v>
          </cell>
          <cell r="E285" t="str">
            <v>1 x 0.4 kV</v>
          </cell>
          <cell r="F285" t="str">
            <v>1 phase(s)</v>
          </cell>
          <cell r="G285" t="str">
            <v>wire:AL, 16 mm2</v>
          </cell>
          <cell r="H285" t="str">
            <v>Wood Pole</v>
          </cell>
          <cell r="I285">
            <v>7290</v>
          </cell>
          <cell r="J285">
            <v>25</v>
          </cell>
          <cell r="K285">
            <v>0.95</v>
          </cell>
          <cell r="L285">
            <v>5</v>
          </cell>
          <cell r="M285">
            <v>0.04</v>
          </cell>
          <cell r="N285">
            <v>5</v>
          </cell>
          <cell r="O285">
            <v>10800</v>
          </cell>
          <cell r="P285">
            <v>0.1</v>
          </cell>
          <cell r="Q285">
            <v>0.25</v>
          </cell>
        </row>
        <row r="286">
          <cell r="B286" t="str">
            <v>Electric LinesAerial1 x 0.4 kV1 phase(s)wire:AL, 16 mm2Console</v>
          </cell>
          <cell r="C286" t="str">
            <v>Electric Lines</v>
          </cell>
          <cell r="D286" t="str">
            <v>Aerial</v>
          </cell>
          <cell r="E286" t="str">
            <v>1 x 0.4 kV</v>
          </cell>
          <cell r="F286" t="str">
            <v>1 phase(s)</v>
          </cell>
          <cell r="G286" t="str">
            <v>wire:AL, 16 mm2</v>
          </cell>
          <cell r="H286" t="str">
            <v>Console</v>
          </cell>
          <cell r="I286">
            <v>5400</v>
          </cell>
          <cell r="J286">
            <v>25</v>
          </cell>
          <cell r="K286">
            <v>0.95</v>
          </cell>
          <cell r="L286">
            <v>5</v>
          </cell>
          <cell r="M286">
            <v>0.04</v>
          </cell>
          <cell r="N286">
            <v>5</v>
          </cell>
          <cell r="O286">
            <v>8000</v>
          </cell>
          <cell r="P286">
            <v>0.1</v>
          </cell>
          <cell r="Q286">
            <v>0.25</v>
          </cell>
        </row>
        <row r="287">
          <cell r="B287" t="str">
            <v>Electric LinesAerial1 x 0.4 kV1 phase(s)wire:AL, 16 mm2Only the wire</v>
          </cell>
          <cell r="C287" t="str">
            <v>Electric Lines</v>
          </cell>
          <cell r="D287" t="str">
            <v>Aerial</v>
          </cell>
          <cell r="E287" t="str">
            <v>1 x 0.4 kV</v>
          </cell>
          <cell r="F287" t="str">
            <v>1 phase(s)</v>
          </cell>
          <cell r="G287" t="str">
            <v>wire:AL, 16 mm2</v>
          </cell>
          <cell r="H287" t="str">
            <v>Only the wire</v>
          </cell>
          <cell r="I287">
            <v>2565</v>
          </cell>
          <cell r="J287">
            <v>25</v>
          </cell>
          <cell r="K287">
            <v>0.95</v>
          </cell>
          <cell r="L287">
            <v>5</v>
          </cell>
          <cell r="M287">
            <v>0.04</v>
          </cell>
          <cell r="N287">
            <v>5</v>
          </cell>
          <cell r="O287">
            <v>3800</v>
          </cell>
          <cell r="P287">
            <v>0.1</v>
          </cell>
          <cell r="Q287">
            <v>0.25</v>
          </cell>
        </row>
        <row r="288">
          <cell r="B288" t="str">
            <v>Electric LinesAerial1 x 0.4 kV1 phase(s)wire:AL, 25 mm2Concrete Pole</v>
          </cell>
          <cell r="C288" t="str">
            <v>Electric Lines</v>
          </cell>
          <cell r="D288" t="str">
            <v>Aerial</v>
          </cell>
          <cell r="E288" t="str">
            <v>1 x 0.4 kV</v>
          </cell>
          <cell r="F288" t="str">
            <v>1 phase(s)</v>
          </cell>
          <cell r="G288" t="str">
            <v>wire:AL, 25 mm2</v>
          </cell>
          <cell r="H288" t="str">
            <v>Concrete Pole</v>
          </cell>
          <cell r="I288">
            <v>9315</v>
          </cell>
          <cell r="J288">
            <v>30</v>
          </cell>
          <cell r="K288">
            <v>0.95</v>
          </cell>
          <cell r="L288">
            <v>7</v>
          </cell>
          <cell r="M288">
            <v>0.04</v>
          </cell>
          <cell r="N288">
            <v>5</v>
          </cell>
          <cell r="O288">
            <v>13800</v>
          </cell>
          <cell r="P288">
            <v>0.1</v>
          </cell>
          <cell r="Q288">
            <v>0.25</v>
          </cell>
        </row>
        <row r="289">
          <cell r="B289" t="str">
            <v>Electric LinesAerial1 x 0.4 kV1 phase(s)wire:AL, 25 mm2Metal Pole</v>
          </cell>
          <cell r="C289" t="str">
            <v>Electric Lines</v>
          </cell>
          <cell r="D289" t="str">
            <v>Aerial</v>
          </cell>
          <cell r="E289" t="str">
            <v>1 x 0.4 kV</v>
          </cell>
          <cell r="F289" t="str">
            <v>1 phase(s)</v>
          </cell>
          <cell r="G289" t="str">
            <v>wire:AL, 25 mm2</v>
          </cell>
          <cell r="H289" t="str">
            <v>Metal Pole</v>
          </cell>
          <cell r="I289">
            <v>12622.5</v>
          </cell>
          <cell r="J289">
            <v>30</v>
          </cell>
          <cell r="K289">
            <v>0.95</v>
          </cell>
          <cell r="L289">
            <v>7</v>
          </cell>
          <cell r="M289">
            <v>0.04</v>
          </cell>
          <cell r="N289">
            <v>5</v>
          </cell>
          <cell r="O289">
            <v>18700</v>
          </cell>
          <cell r="P289">
            <v>0.1</v>
          </cell>
          <cell r="Q289">
            <v>0.25</v>
          </cell>
        </row>
        <row r="290">
          <cell r="B290" t="str">
            <v>Electric LinesAerial1 x 0.4 kV1 phase(s)wire:AL, 25 mm2Wood Pole</v>
          </cell>
          <cell r="C290" t="str">
            <v>Electric Lines</v>
          </cell>
          <cell r="D290" t="str">
            <v>Aerial</v>
          </cell>
          <cell r="E290" t="str">
            <v>1 x 0.4 kV</v>
          </cell>
          <cell r="F290" t="str">
            <v>1 phase(s)</v>
          </cell>
          <cell r="G290" t="str">
            <v>wire:AL, 25 mm2</v>
          </cell>
          <cell r="H290" t="str">
            <v>Wood Pole</v>
          </cell>
          <cell r="I290">
            <v>8167.5</v>
          </cell>
          <cell r="J290">
            <v>25</v>
          </cell>
          <cell r="K290">
            <v>0.95</v>
          </cell>
          <cell r="L290">
            <v>5</v>
          </cell>
          <cell r="M290">
            <v>0.04</v>
          </cell>
          <cell r="N290">
            <v>5</v>
          </cell>
          <cell r="O290">
            <v>12100</v>
          </cell>
          <cell r="P290">
            <v>0.1</v>
          </cell>
          <cell r="Q290">
            <v>0.25</v>
          </cell>
        </row>
        <row r="291">
          <cell r="B291" t="str">
            <v>Electric LinesAerial1 x 0.4 kV1 phase(s)wire:AL, 25 mm2Console</v>
          </cell>
          <cell r="C291" t="str">
            <v>Electric Lines</v>
          </cell>
          <cell r="D291" t="str">
            <v>Aerial</v>
          </cell>
          <cell r="E291" t="str">
            <v>1 x 0.4 kV</v>
          </cell>
          <cell r="F291" t="str">
            <v>1 phase(s)</v>
          </cell>
          <cell r="G291" t="str">
            <v>wire:AL, 25 mm2</v>
          </cell>
          <cell r="H291" t="str">
            <v>Console</v>
          </cell>
          <cell r="I291">
            <v>6075</v>
          </cell>
          <cell r="J291">
            <v>25</v>
          </cell>
          <cell r="K291">
            <v>0.95</v>
          </cell>
          <cell r="L291">
            <v>5</v>
          </cell>
          <cell r="M291">
            <v>0.04</v>
          </cell>
          <cell r="N291">
            <v>5</v>
          </cell>
          <cell r="O291">
            <v>9000</v>
          </cell>
          <cell r="P291">
            <v>0.1</v>
          </cell>
          <cell r="Q291">
            <v>0.25</v>
          </cell>
        </row>
        <row r="292">
          <cell r="B292" t="str">
            <v>Electric LinesAerial1 x 0.4 kV1 phase(s)wire:AL, 25 mm2Only the wire</v>
          </cell>
          <cell r="C292" t="str">
            <v>Electric Lines</v>
          </cell>
          <cell r="D292" t="str">
            <v>Aerial</v>
          </cell>
          <cell r="E292" t="str">
            <v>1 x 0.4 kV</v>
          </cell>
          <cell r="F292" t="str">
            <v>1 phase(s)</v>
          </cell>
          <cell r="G292" t="str">
            <v>wire:AL, 25 mm2</v>
          </cell>
          <cell r="H292" t="str">
            <v>Only the wire</v>
          </cell>
          <cell r="I292">
            <v>2835</v>
          </cell>
          <cell r="J292">
            <v>25</v>
          </cell>
          <cell r="K292">
            <v>0.95</v>
          </cell>
          <cell r="L292">
            <v>5</v>
          </cell>
          <cell r="M292">
            <v>0.04</v>
          </cell>
          <cell r="N292">
            <v>5</v>
          </cell>
          <cell r="O292">
            <v>4200</v>
          </cell>
          <cell r="P292">
            <v>0.1</v>
          </cell>
          <cell r="Q292">
            <v>0.25</v>
          </cell>
        </row>
        <row r="293">
          <cell r="B293" t="str">
            <v>Electric LinesAerial1 x 0.4 kV1 phase(s)wire:AL, 30 mm2Concrete Pole</v>
          </cell>
          <cell r="C293" t="str">
            <v>Electric Lines</v>
          </cell>
          <cell r="D293" t="str">
            <v>Aerial</v>
          </cell>
          <cell r="E293" t="str">
            <v>1 x 0.4 kV</v>
          </cell>
          <cell r="F293" t="str">
            <v>1 phase(s)</v>
          </cell>
          <cell r="G293" t="str">
            <v>wire:AL, 30 mm2</v>
          </cell>
          <cell r="H293" t="str">
            <v>Concrete Pole</v>
          </cell>
          <cell r="I293">
            <v>10395</v>
          </cell>
          <cell r="J293">
            <v>30</v>
          </cell>
          <cell r="K293">
            <v>0.95</v>
          </cell>
          <cell r="L293">
            <v>7</v>
          </cell>
          <cell r="M293">
            <v>0.04</v>
          </cell>
          <cell r="N293">
            <v>5</v>
          </cell>
          <cell r="O293">
            <v>15400</v>
          </cell>
          <cell r="P293">
            <v>0.1</v>
          </cell>
          <cell r="Q293">
            <v>0.25</v>
          </cell>
        </row>
        <row r="294">
          <cell r="B294" t="str">
            <v>Electric LinesAerial1 x 0.4 kV1 phase(s)wire:AL, 30 mm2Metal Pole</v>
          </cell>
          <cell r="C294" t="str">
            <v>Electric Lines</v>
          </cell>
          <cell r="D294" t="str">
            <v>Aerial</v>
          </cell>
          <cell r="E294" t="str">
            <v>1 x 0.4 kV</v>
          </cell>
          <cell r="F294" t="str">
            <v>1 phase(s)</v>
          </cell>
          <cell r="G294" t="str">
            <v>wire:AL, 30 mm2</v>
          </cell>
          <cell r="H294" t="str">
            <v>Metal Pole</v>
          </cell>
          <cell r="I294">
            <v>14107.5</v>
          </cell>
          <cell r="J294">
            <v>30</v>
          </cell>
          <cell r="K294">
            <v>0.95</v>
          </cell>
          <cell r="L294">
            <v>7</v>
          </cell>
          <cell r="M294">
            <v>0.04</v>
          </cell>
          <cell r="N294">
            <v>5</v>
          </cell>
          <cell r="O294">
            <v>20900</v>
          </cell>
          <cell r="P294">
            <v>0.1</v>
          </cell>
          <cell r="Q294">
            <v>0.25</v>
          </cell>
        </row>
        <row r="295">
          <cell r="B295" t="str">
            <v>Electric LinesAerial1 x 0.4 kV1 phase(s)wire:AL, 30 mm2Wood Pole</v>
          </cell>
          <cell r="C295" t="str">
            <v>Electric Lines</v>
          </cell>
          <cell r="D295" t="str">
            <v>Aerial</v>
          </cell>
          <cell r="E295" t="str">
            <v>1 x 0.4 kV</v>
          </cell>
          <cell r="F295" t="str">
            <v>1 phase(s)</v>
          </cell>
          <cell r="G295" t="str">
            <v>wire:AL, 30 mm2</v>
          </cell>
          <cell r="H295" t="str">
            <v>Wood Pole</v>
          </cell>
          <cell r="I295">
            <v>9112.5</v>
          </cell>
          <cell r="J295">
            <v>25</v>
          </cell>
          <cell r="K295">
            <v>0.95</v>
          </cell>
          <cell r="L295">
            <v>5</v>
          </cell>
          <cell r="M295">
            <v>0.04</v>
          </cell>
          <cell r="N295">
            <v>5</v>
          </cell>
          <cell r="O295">
            <v>13500</v>
          </cell>
          <cell r="P295">
            <v>0.1</v>
          </cell>
          <cell r="Q295">
            <v>0.25</v>
          </cell>
        </row>
        <row r="296">
          <cell r="B296" t="str">
            <v>Electric LinesAerial1 x 0.4 kV1 phase(s)wire:AL, 30 mm2Console</v>
          </cell>
          <cell r="C296" t="str">
            <v>Electric Lines</v>
          </cell>
          <cell r="D296" t="str">
            <v>Aerial</v>
          </cell>
          <cell r="E296" t="str">
            <v>1 x 0.4 kV</v>
          </cell>
          <cell r="F296" t="str">
            <v>1 phase(s)</v>
          </cell>
          <cell r="G296" t="str">
            <v>wire:AL, 30 mm2</v>
          </cell>
          <cell r="H296" t="str">
            <v>Console</v>
          </cell>
          <cell r="I296">
            <v>6817.5</v>
          </cell>
          <cell r="J296">
            <v>25</v>
          </cell>
          <cell r="K296">
            <v>0.95</v>
          </cell>
          <cell r="L296">
            <v>5</v>
          </cell>
          <cell r="M296">
            <v>0.04</v>
          </cell>
          <cell r="N296">
            <v>5</v>
          </cell>
          <cell r="O296">
            <v>10100</v>
          </cell>
          <cell r="P296">
            <v>0.1</v>
          </cell>
          <cell r="Q296">
            <v>0.25</v>
          </cell>
        </row>
        <row r="297">
          <cell r="B297" t="str">
            <v>Electric LinesAerial1 x 0.4 kV1 phase(s)wire:AL, 30 mm2Only the wire</v>
          </cell>
          <cell r="C297" t="str">
            <v>Electric Lines</v>
          </cell>
          <cell r="D297" t="str">
            <v>Aerial</v>
          </cell>
          <cell r="E297" t="str">
            <v>1 x 0.4 kV</v>
          </cell>
          <cell r="F297" t="str">
            <v>1 phase(s)</v>
          </cell>
          <cell r="G297" t="str">
            <v>wire:AL, 30 mm2</v>
          </cell>
          <cell r="H297" t="str">
            <v>Only the wire</v>
          </cell>
          <cell r="I297">
            <v>3172.5</v>
          </cell>
          <cell r="J297">
            <v>25</v>
          </cell>
          <cell r="K297">
            <v>0.95</v>
          </cell>
          <cell r="L297">
            <v>5</v>
          </cell>
          <cell r="M297">
            <v>0.04</v>
          </cell>
          <cell r="N297">
            <v>5</v>
          </cell>
          <cell r="O297">
            <v>4700</v>
          </cell>
          <cell r="P297">
            <v>0.1</v>
          </cell>
          <cell r="Q297">
            <v>0.25</v>
          </cell>
        </row>
        <row r="298">
          <cell r="B298" t="str">
            <v>Electric LinesAerial1 x 0.4 kV1 phase(s)wire:AL, 35 mm2Concrete Pole</v>
          </cell>
          <cell r="C298" t="str">
            <v>Electric Lines</v>
          </cell>
          <cell r="D298" t="str">
            <v>Aerial</v>
          </cell>
          <cell r="E298" t="str">
            <v>1 x 0.4 kV</v>
          </cell>
          <cell r="F298" t="str">
            <v>1 phase(s)</v>
          </cell>
          <cell r="G298" t="str">
            <v>wire:AL, 35 mm2</v>
          </cell>
          <cell r="H298" t="str">
            <v>Concrete Pole</v>
          </cell>
          <cell r="I298">
            <v>10395</v>
          </cell>
          <cell r="J298">
            <v>30</v>
          </cell>
          <cell r="K298">
            <v>0.95</v>
          </cell>
          <cell r="L298">
            <v>7</v>
          </cell>
          <cell r="M298">
            <v>0.04</v>
          </cell>
          <cell r="N298">
            <v>5</v>
          </cell>
          <cell r="O298">
            <v>15400</v>
          </cell>
          <cell r="P298">
            <v>0.1</v>
          </cell>
          <cell r="Q298">
            <v>0.25</v>
          </cell>
        </row>
        <row r="299">
          <cell r="B299" t="str">
            <v>Electric LinesAerial1 x 0.4 kV1 phase(s)wire:AL, 35 mm2Metal Pole</v>
          </cell>
          <cell r="C299" t="str">
            <v>Electric Lines</v>
          </cell>
          <cell r="D299" t="str">
            <v>Aerial</v>
          </cell>
          <cell r="E299" t="str">
            <v>1 x 0.4 kV</v>
          </cell>
          <cell r="F299" t="str">
            <v>1 phase(s)</v>
          </cell>
          <cell r="G299" t="str">
            <v>wire:AL, 35 mm2</v>
          </cell>
          <cell r="H299" t="str">
            <v>Metal Pole</v>
          </cell>
          <cell r="I299">
            <v>14107.5</v>
          </cell>
          <cell r="J299">
            <v>30</v>
          </cell>
          <cell r="K299">
            <v>0.95</v>
          </cell>
          <cell r="L299">
            <v>7</v>
          </cell>
          <cell r="M299">
            <v>0.04</v>
          </cell>
          <cell r="N299">
            <v>5</v>
          </cell>
          <cell r="O299">
            <v>20900</v>
          </cell>
          <cell r="P299">
            <v>0.1</v>
          </cell>
          <cell r="Q299">
            <v>0.25</v>
          </cell>
        </row>
        <row r="300">
          <cell r="B300" t="str">
            <v>Electric LinesAerial1 x 0.4 kV1 phase(s)wire:AL, 35 mm2Wood Pole</v>
          </cell>
          <cell r="C300" t="str">
            <v>Electric Lines</v>
          </cell>
          <cell r="D300" t="str">
            <v>Aerial</v>
          </cell>
          <cell r="E300" t="str">
            <v>1 x 0.4 kV</v>
          </cell>
          <cell r="F300" t="str">
            <v>1 phase(s)</v>
          </cell>
          <cell r="G300" t="str">
            <v>wire:AL, 35 mm2</v>
          </cell>
          <cell r="H300" t="str">
            <v>Wood Pole</v>
          </cell>
          <cell r="I300">
            <v>9112.5</v>
          </cell>
          <cell r="J300">
            <v>25</v>
          </cell>
          <cell r="K300">
            <v>0.95</v>
          </cell>
          <cell r="L300">
            <v>5</v>
          </cell>
          <cell r="M300">
            <v>0.04</v>
          </cell>
          <cell r="N300">
            <v>5</v>
          </cell>
          <cell r="O300">
            <v>13500</v>
          </cell>
          <cell r="P300">
            <v>0.1</v>
          </cell>
          <cell r="Q300">
            <v>0.25</v>
          </cell>
        </row>
        <row r="301">
          <cell r="B301" t="str">
            <v>Electric LinesAerial1 x 0.4 kV1 phase(s)wire:AL, 35 mm2Console</v>
          </cell>
          <cell r="C301" t="str">
            <v>Electric Lines</v>
          </cell>
          <cell r="D301" t="str">
            <v>Aerial</v>
          </cell>
          <cell r="E301" t="str">
            <v>1 x 0.4 kV</v>
          </cell>
          <cell r="F301" t="str">
            <v>1 phase(s)</v>
          </cell>
          <cell r="G301" t="str">
            <v>wire:AL, 35 mm2</v>
          </cell>
          <cell r="H301" t="str">
            <v>Console</v>
          </cell>
          <cell r="I301">
            <v>6817.5</v>
          </cell>
          <cell r="J301">
            <v>25</v>
          </cell>
          <cell r="K301">
            <v>0.95</v>
          </cell>
          <cell r="L301">
            <v>5</v>
          </cell>
          <cell r="M301">
            <v>0.04</v>
          </cell>
          <cell r="N301">
            <v>5</v>
          </cell>
          <cell r="O301">
            <v>10100</v>
          </cell>
          <cell r="P301">
            <v>0.1</v>
          </cell>
          <cell r="Q301">
            <v>0.25</v>
          </cell>
        </row>
        <row r="302">
          <cell r="B302" t="str">
            <v>Electric LinesAerial1 x 0.4 kV1 phase(s)wire:AL, 35 mm2Only the wire</v>
          </cell>
          <cell r="C302" t="str">
            <v>Electric Lines</v>
          </cell>
          <cell r="D302" t="str">
            <v>Aerial</v>
          </cell>
          <cell r="E302" t="str">
            <v>1 x 0.4 kV</v>
          </cell>
          <cell r="F302" t="str">
            <v>1 phase(s)</v>
          </cell>
          <cell r="G302" t="str">
            <v>wire:AL, 35 mm2</v>
          </cell>
          <cell r="H302" t="str">
            <v>Only the wire</v>
          </cell>
          <cell r="I302">
            <v>3172.5</v>
          </cell>
          <cell r="J302">
            <v>25</v>
          </cell>
          <cell r="K302">
            <v>0.95</v>
          </cell>
          <cell r="L302">
            <v>5</v>
          </cell>
          <cell r="M302">
            <v>0.04</v>
          </cell>
          <cell r="N302">
            <v>5</v>
          </cell>
          <cell r="O302">
            <v>4700</v>
          </cell>
          <cell r="P302">
            <v>0.1</v>
          </cell>
          <cell r="Q302">
            <v>0.25</v>
          </cell>
        </row>
        <row r="303">
          <cell r="B303" t="str">
            <v>Electric LinesAerial1 x 0.4 kV1 phase(s)wire:AL, 50 mm2Concrete Pole</v>
          </cell>
          <cell r="C303" t="str">
            <v>Electric Lines</v>
          </cell>
          <cell r="D303" t="str">
            <v>Aerial</v>
          </cell>
          <cell r="E303" t="str">
            <v>1 x 0.4 kV</v>
          </cell>
          <cell r="F303" t="str">
            <v>1 phase(s)</v>
          </cell>
          <cell r="G303" t="str">
            <v>wire:AL, 50 mm2</v>
          </cell>
          <cell r="H303" t="str">
            <v>Concrete Pole</v>
          </cell>
          <cell r="I303">
            <v>11002.5</v>
          </cell>
          <cell r="J303">
            <v>30</v>
          </cell>
          <cell r="K303">
            <v>0.95</v>
          </cell>
          <cell r="L303">
            <v>7</v>
          </cell>
          <cell r="M303">
            <v>0.04</v>
          </cell>
          <cell r="N303">
            <v>5</v>
          </cell>
          <cell r="O303">
            <v>16300</v>
          </cell>
          <cell r="P303">
            <v>0.1</v>
          </cell>
          <cell r="Q303">
            <v>0.25</v>
          </cell>
        </row>
        <row r="304">
          <cell r="B304" t="str">
            <v>Electric LinesAerial1 x 0.4 kV1 phase(s)wire:AL, 50 mm2Metal Pole</v>
          </cell>
          <cell r="C304" t="str">
            <v>Electric Lines</v>
          </cell>
          <cell r="D304" t="str">
            <v>Aerial</v>
          </cell>
          <cell r="E304" t="str">
            <v>1 x 0.4 kV</v>
          </cell>
          <cell r="F304" t="str">
            <v>1 phase(s)</v>
          </cell>
          <cell r="G304" t="str">
            <v>wire:AL, 50 mm2</v>
          </cell>
          <cell r="H304" t="str">
            <v>Metal Pole</v>
          </cell>
          <cell r="I304">
            <v>14917.5</v>
          </cell>
          <cell r="J304">
            <v>30</v>
          </cell>
          <cell r="K304">
            <v>0.95</v>
          </cell>
          <cell r="L304">
            <v>7</v>
          </cell>
          <cell r="M304">
            <v>0.04</v>
          </cell>
          <cell r="N304">
            <v>5</v>
          </cell>
          <cell r="O304">
            <v>22100</v>
          </cell>
          <cell r="P304">
            <v>0.1</v>
          </cell>
          <cell r="Q304">
            <v>0.25</v>
          </cell>
        </row>
        <row r="305">
          <cell r="B305" t="str">
            <v>Electric LinesAerial1 x 0.4 kV1 phase(s)wire:AL, 50 mm2Wood Pole</v>
          </cell>
          <cell r="C305" t="str">
            <v>Electric Lines</v>
          </cell>
          <cell r="D305" t="str">
            <v>Aerial</v>
          </cell>
          <cell r="E305" t="str">
            <v>1 x 0.4 kV</v>
          </cell>
          <cell r="F305" t="str">
            <v>1 phase(s)</v>
          </cell>
          <cell r="G305" t="str">
            <v>wire:AL, 50 mm2</v>
          </cell>
          <cell r="H305" t="str">
            <v>Wood Pole</v>
          </cell>
          <cell r="I305">
            <v>9652.5</v>
          </cell>
          <cell r="J305">
            <v>25</v>
          </cell>
          <cell r="K305">
            <v>0.95</v>
          </cell>
          <cell r="L305">
            <v>5</v>
          </cell>
          <cell r="M305">
            <v>0.04</v>
          </cell>
          <cell r="N305">
            <v>5</v>
          </cell>
          <cell r="O305">
            <v>14300</v>
          </cell>
          <cell r="P305">
            <v>0.1</v>
          </cell>
          <cell r="Q305">
            <v>0.25</v>
          </cell>
        </row>
        <row r="306">
          <cell r="B306" t="str">
            <v>Electric LinesAerial1 x 0.4 kV1 phase(s)wire:AL, 50 mm2Console</v>
          </cell>
          <cell r="C306" t="str">
            <v>Electric Lines</v>
          </cell>
          <cell r="D306" t="str">
            <v>Aerial</v>
          </cell>
          <cell r="E306" t="str">
            <v>1 x 0.4 kV</v>
          </cell>
          <cell r="F306" t="str">
            <v>1 phase(s)</v>
          </cell>
          <cell r="G306" t="str">
            <v>wire:AL, 50 mm2</v>
          </cell>
          <cell r="H306" t="str">
            <v>Console</v>
          </cell>
          <cell r="I306">
            <v>7222.5</v>
          </cell>
          <cell r="J306">
            <v>25</v>
          </cell>
          <cell r="K306">
            <v>0.95</v>
          </cell>
          <cell r="L306">
            <v>5</v>
          </cell>
          <cell r="M306">
            <v>0.04</v>
          </cell>
          <cell r="N306">
            <v>5</v>
          </cell>
          <cell r="O306">
            <v>10700</v>
          </cell>
          <cell r="P306">
            <v>0.1</v>
          </cell>
          <cell r="Q306">
            <v>0.25</v>
          </cell>
        </row>
        <row r="307">
          <cell r="B307" t="str">
            <v>Electric LinesAerial1 x 0.4 kV1 phase(s)wire:AL, 50 mm2Only the wire</v>
          </cell>
          <cell r="C307" t="str">
            <v>Electric Lines</v>
          </cell>
          <cell r="D307" t="str">
            <v>Aerial</v>
          </cell>
          <cell r="E307" t="str">
            <v>1 x 0.4 kV</v>
          </cell>
          <cell r="F307" t="str">
            <v>1 phase(s)</v>
          </cell>
          <cell r="G307" t="str">
            <v>wire:AL, 50 mm2</v>
          </cell>
          <cell r="H307" t="str">
            <v>Only the wire</v>
          </cell>
          <cell r="I307">
            <v>3375</v>
          </cell>
          <cell r="J307">
            <v>25</v>
          </cell>
          <cell r="K307">
            <v>0.95</v>
          </cell>
          <cell r="L307">
            <v>5</v>
          </cell>
          <cell r="M307">
            <v>0.04</v>
          </cell>
          <cell r="N307">
            <v>5</v>
          </cell>
          <cell r="O307">
            <v>5000</v>
          </cell>
          <cell r="P307">
            <v>0.1</v>
          </cell>
          <cell r="Q307">
            <v>0.25</v>
          </cell>
        </row>
        <row r="308">
          <cell r="B308" t="str">
            <v>Electric LinesAerial1 x 0.4 kV1 phase(s)wire:AL, 70 mm2Concrete Pole</v>
          </cell>
          <cell r="C308" t="str">
            <v>Electric Lines</v>
          </cell>
          <cell r="D308" t="str">
            <v>Aerial</v>
          </cell>
          <cell r="E308" t="str">
            <v>1 x 0.4 kV</v>
          </cell>
          <cell r="F308" t="str">
            <v>1 phase(s)</v>
          </cell>
          <cell r="G308" t="str">
            <v>wire:AL, 70 mm2</v>
          </cell>
          <cell r="H308" t="str">
            <v>Concrete Pole</v>
          </cell>
          <cell r="I308">
            <v>11677.5</v>
          </cell>
          <cell r="J308">
            <v>30</v>
          </cell>
          <cell r="K308">
            <v>0.95</v>
          </cell>
          <cell r="L308">
            <v>7</v>
          </cell>
          <cell r="M308">
            <v>0.04</v>
          </cell>
          <cell r="N308">
            <v>5</v>
          </cell>
          <cell r="O308">
            <v>17300</v>
          </cell>
          <cell r="P308">
            <v>0.1</v>
          </cell>
          <cell r="Q308">
            <v>0.25</v>
          </cell>
        </row>
        <row r="309">
          <cell r="B309" t="str">
            <v>Electric LinesAerial1 x 0.4 kV1 phase(s)wire:AL, 70 mm2Metal Pole</v>
          </cell>
          <cell r="C309" t="str">
            <v>Electric Lines</v>
          </cell>
          <cell r="D309" t="str">
            <v>Aerial</v>
          </cell>
          <cell r="E309" t="str">
            <v>1 x 0.4 kV</v>
          </cell>
          <cell r="F309" t="str">
            <v>1 phase(s)</v>
          </cell>
          <cell r="G309" t="str">
            <v>wire:AL, 70 mm2</v>
          </cell>
          <cell r="H309" t="str">
            <v>Metal Pole</v>
          </cell>
          <cell r="I309">
            <v>15795</v>
          </cell>
          <cell r="J309">
            <v>30</v>
          </cell>
          <cell r="K309">
            <v>0.95</v>
          </cell>
          <cell r="L309">
            <v>7</v>
          </cell>
          <cell r="M309">
            <v>0.04</v>
          </cell>
          <cell r="N309">
            <v>5</v>
          </cell>
          <cell r="O309">
            <v>23400</v>
          </cell>
          <cell r="P309">
            <v>0.1</v>
          </cell>
          <cell r="Q309">
            <v>0.25</v>
          </cell>
        </row>
        <row r="310">
          <cell r="B310" t="str">
            <v>Electric LinesAerial1 x 0.4 kV1 phase(s)wire:AL, 70 mm2Wood Pole</v>
          </cell>
          <cell r="C310" t="str">
            <v>Electric Lines</v>
          </cell>
          <cell r="D310" t="str">
            <v>Aerial</v>
          </cell>
          <cell r="E310" t="str">
            <v>1 x 0.4 kV</v>
          </cell>
          <cell r="F310" t="str">
            <v>1 phase(s)</v>
          </cell>
          <cell r="G310" t="str">
            <v>wire:AL, 70 mm2</v>
          </cell>
          <cell r="H310" t="str">
            <v>Wood Pole</v>
          </cell>
          <cell r="I310">
            <v>10192.5</v>
          </cell>
          <cell r="J310">
            <v>25</v>
          </cell>
          <cell r="K310">
            <v>0.95</v>
          </cell>
          <cell r="L310">
            <v>5</v>
          </cell>
          <cell r="M310">
            <v>0.04</v>
          </cell>
          <cell r="N310">
            <v>5</v>
          </cell>
          <cell r="O310">
            <v>15100</v>
          </cell>
          <cell r="P310">
            <v>0.1</v>
          </cell>
          <cell r="Q310">
            <v>0.25</v>
          </cell>
        </row>
        <row r="311">
          <cell r="B311" t="str">
            <v>Electric LinesAerial1 x 0.4 kV1 phase(s)wire:AL, 70 mm2Console</v>
          </cell>
          <cell r="C311" t="str">
            <v>Electric Lines</v>
          </cell>
          <cell r="D311" t="str">
            <v>Aerial</v>
          </cell>
          <cell r="E311" t="str">
            <v>1 x 0.4 kV</v>
          </cell>
          <cell r="F311" t="str">
            <v>1 phase(s)</v>
          </cell>
          <cell r="G311" t="str">
            <v>wire:AL, 70 mm2</v>
          </cell>
          <cell r="H311" t="str">
            <v>Console</v>
          </cell>
          <cell r="I311">
            <v>7627.5</v>
          </cell>
          <cell r="J311">
            <v>25</v>
          </cell>
          <cell r="K311">
            <v>0.95</v>
          </cell>
          <cell r="L311">
            <v>5</v>
          </cell>
          <cell r="M311">
            <v>0.04</v>
          </cell>
          <cell r="N311">
            <v>5</v>
          </cell>
          <cell r="O311">
            <v>11300</v>
          </cell>
          <cell r="P311">
            <v>0.1</v>
          </cell>
          <cell r="Q311">
            <v>0.25</v>
          </cell>
        </row>
        <row r="312">
          <cell r="B312" t="str">
            <v>Electric LinesAerial1 x 0.4 kV1 phase(s)wire:AL, 70 mm2Only the wire</v>
          </cell>
          <cell r="C312" t="str">
            <v>Electric Lines</v>
          </cell>
          <cell r="D312" t="str">
            <v>Aerial</v>
          </cell>
          <cell r="E312" t="str">
            <v>1 x 0.4 kV</v>
          </cell>
          <cell r="F312" t="str">
            <v>1 phase(s)</v>
          </cell>
          <cell r="G312" t="str">
            <v>wire:AL, 70 mm2</v>
          </cell>
          <cell r="H312" t="str">
            <v>Only the wire</v>
          </cell>
          <cell r="I312">
            <v>3577.5</v>
          </cell>
          <cell r="J312">
            <v>25</v>
          </cell>
          <cell r="K312">
            <v>0.95</v>
          </cell>
          <cell r="L312">
            <v>5</v>
          </cell>
          <cell r="M312">
            <v>0.04</v>
          </cell>
          <cell r="N312">
            <v>5</v>
          </cell>
          <cell r="O312">
            <v>5300</v>
          </cell>
          <cell r="P312">
            <v>0.1</v>
          </cell>
          <cell r="Q312">
            <v>0.25</v>
          </cell>
        </row>
        <row r="313">
          <cell r="B313" t="str">
            <v>Electric LinesAerial1 x 0.4 kV2 phase(s)wire:AL, 16 mm2Concrete Pole</v>
          </cell>
          <cell r="C313" t="str">
            <v>Electric Lines</v>
          </cell>
          <cell r="D313" t="str">
            <v>Aerial</v>
          </cell>
          <cell r="E313" t="str">
            <v>1 x 0.4 kV</v>
          </cell>
          <cell r="F313" t="str">
            <v>2 phase(s)</v>
          </cell>
          <cell r="G313" t="str">
            <v>wire:AL, 16 mm2</v>
          </cell>
          <cell r="H313" t="str">
            <v>Concrete Pole</v>
          </cell>
          <cell r="I313">
            <v>8775</v>
          </cell>
          <cell r="J313">
            <v>30</v>
          </cell>
          <cell r="K313">
            <v>0.95</v>
          </cell>
          <cell r="L313">
            <v>7</v>
          </cell>
          <cell r="M313">
            <v>0.04</v>
          </cell>
          <cell r="N313">
            <v>5</v>
          </cell>
          <cell r="O313">
            <v>13000</v>
          </cell>
          <cell r="P313">
            <v>0.1</v>
          </cell>
          <cell r="Q313">
            <v>0.25</v>
          </cell>
        </row>
        <row r="314">
          <cell r="B314" t="str">
            <v>Electric LinesAerial1 x 0.4 kV2 phase(s)wire:AL, 16 mm2Metal Pole</v>
          </cell>
          <cell r="C314" t="str">
            <v>Electric Lines</v>
          </cell>
          <cell r="D314" t="str">
            <v>Aerial</v>
          </cell>
          <cell r="E314" t="str">
            <v>1 x 0.4 kV</v>
          </cell>
          <cell r="F314" t="str">
            <v>2 phase(s)</v>
          </cell>
          <cell r="G314" t="str">
            <v>wire:AL, 16 mm2</v>
          </cell>
          <cell r="H314" t="str">
            <v>Metal Pole</v>
          </cell>
          <cell r="I314">
            <v>11947.5</v>
          </cell>
          <cell r="J314">
            <v>30</v>
          </cell>
          <cell r="K314">
            <v>0.95</v>
          </cell>
          <cell r="L314">
            <v>7</v>
          </cell>
          <cell r="M314">
            <v>0.04</v>
          </cell>
          <cell r="N314">
            <v>5</v>
          </cell>
          <cell r="O314">
            <v>17700</v>
          </cell>
          <cell r="P314">
            <v>0.1</v>
          </cell>
          <cell r="Q314">
            <v>0.25</v>
          </cell>
        </row>
        <row r="315">
          <cell r="B315" t="str">
            <v>Electric LinesAerial1 x 0.4 kV2 phase(s)wire:AL, 16 mm2Wood Pole</v>
          </cell>
          <cell r="C315" t="str">
            <v>Electric Lines</v>
          </cell>
          <cell r="D315" t="str">
            <v>Aerial</v>
          </cell>
          <cell r="E315" t="str">
            <v>1 x 0.4 kV</v>
          </cell>
          <cell r="F315" t="str">
            <v>2 phase(s)</v>
          </cell>
          <cell r="G315" t="str">
            <v>wire:AL, 16 mm2</v>
          </cell>
          <cell r="H315" t="str">
            <v>Wood Pole</v>
          </cell>
          <cell r="I315">
            <v>7695</v>
          </cell>
          <cell r="J315">
            <v>25</v>
          </cell>
          <cell r="K315">
            <v>0.95</v>
          </cell>
          <cell r="L315">
            <v>5</v>
          </cell>
          <cell r="M315">
            <v>0.04</v>
          </cell>
          <cell r="N315">
            <v>5</v>
          </cell>
          <cell r="O315">
            <v>11400</v>
          </cell>
          <cell r="P315">
            <v>0.1</v>
          </cell>
          <cell r="Q315">
            <v>0.25</v>
          </cell>
        </row>
        <row r="316">
          <cell r="B316" t="str">
            <v>Electric LinesAerial1 x 0.4 kV2 phase(s)wire:AL, 16 mm2Console</v>
          </cell>
          <cell r="C316" t="str">
            <v>Electric Lines</v>
          </cell>
          <cell r="D316" t="str">
            <v>Aerial</v>
          </cell>
          <cell r="E316" t="str">
            <v>1 x 0.4 kV</v>
          </cell>
          <cell r="F316" t="str">
            <v>2 phase(s)</v>
          </cell>
          <cell r="G316" t="str">
            <v>wire:AL, 16 mm2</v>
          </cell>
          <cell r="H316" t="str">
            <v>Console</v>
          </cell>
          <cell r="I316">
            <v>5737.5</v>
          </cell>
          <cell r="J316">
            <v>25</v>
          </cell>
          <cell r="K316">
            <v>0.95</v>
          </cell>
          <cell r="L316">
            <v>5</v>
          </cell>
          <cell r="M316">
            <v>0.04</v>
          </cell>
          <cell r="N316">
            <v>5</v>
          </cell>
          <cell r="O316">
            <v>8500</v>
          </cell>
          <cell r="P316">
            <v>0.1</v>
          </cell>
          <cell r="Q316">
            <v>0.25</v>
          </cell>
        </row>
        <row r="317">
          <cell r="B317" t="str">
            <v>Electric LinesAerial1 x 0.4 kV2 phase(s)wire:AL, 16 mm2Only the wire</v>
          </cell>
          <cell r="C317" t="str">
            <v>Electric Lines</v>
          </cell>
          <cell r="D317" t="str">
            <v>Aerial</v>
          </cell>
          <cell r="E317" t="str">
            <v>1 x 0.4 kV</v>
          </cell>
          <cell r="F317" t="str">
            <v>2 phase(s)</v>
          </cell>
          <cell r="G317" t="str">
            <v>wire:AL, 16 mm2</v>
          </cell>
          <cell r="H317" t="str">
            <v>Only the wire</v>
          </cell>
          <cell r="I317">
            <v>2700</v>
          </cell>
          <cell r="J317">
            <v>25</v>
          </cell>
          <cell r="K317">
            <v>0.95</v>
          </cell>
          <cell r="L317">
            <v>5</v>
          </cell>
          <cell r="M317">
            <v>0.04</v>
          </cell>
          <cell r="N317">
            <v>5</v>
          </cell>
          <cell r="O317">
            <v>4000</v>
          </cell>
          <cell r="P317">
            <v>0.1</v>
          </cell>
          <cell r="Q317">
            <v>0.25</v>
          </cell>
        </row>
        <row r="318">
          <cell r="B318" t="str">
            <v>Electric LinesAerial1 x 0.4 kV2 phase(s)wire:AL, 25 mm2Concrete Pole</v>
          </cell>
          <cell r="C318" t="str">
            <v>Electric Lines</v>
          </cell>
          <cell r="D318" t="str">
            <v>Aerial</v>
          </cell>
          <cell r="E318" t="str">
            <v>1 x 0.4 kV</v>
          </cell>
          <cell r="F318" t="str">
            <v>2 phase(s)</v>
          </cell>
          <cell r="G318" t="str">
            <v>wire:AL, 25 mm2</v>
          </cell>
          <cell r="H318" t="str">
            <v>Concrete Pole</v>
          </cell>
          <cell r="I318">
            <v>9855</v>
          </cell>
          <cell r="J318">
            <v>30</v>
          </cell>
          <cell r="K318">
            <v>0.95</v>
          </cell>
          <cell r="L318">
            <v>7</v>
          </cell>
          <cell r="M318">
            <v>0.04</v>
          </cell>
          <cell r="N318">
            <v>5</v>
          </cell>
          <cell r="O318">
            <v>14600</v>
          </cell>
          <cell r="P318">
            <v>0.1</v>
          </cell>
          <cell r="Q318">
            <v>0.25</v>
          </cell>
        </row>
        <row r="319">
          <cell r="B319" t="str">
            <v>Electric LinesAerial1 x 0.4 kV2 phase(s)wire:AL, 25 mm2Metal Pole</v>
          </cell>
          <cell r="C319" t="str">
            <v>Electric Lines</v>
          </cell>
          <cell r="D319" t="str">
            <v>Aerial</v>
          </cell>
          <cell r="E319" t="str">
            <v>1 x 0.4 kV</v>
          </cell>
          <cell r="F319" t="str">
            <v>2 phase(s)</v>
          </cell>
          <cell r="G319" t="str">
            <v>wire:AL, 25 mm2</v>
          </cell>
          <cell r="H319" t="str">
            <v>Metal Pole</v>
          </cell>
          <cell r="I319">
            <v>13365</v>
          </cell>
          <cell r="J319">
            <v>30</v>
          </cell>
          <cell r="K319">
            <v>0.95</v>
          </cell>
          <cell r="L319">
            <v>7</v>
          </cell>
          <cell r="M319">
            <v>0.04</v>
          </cell>
          <cell r="N319">
            <v>5</v>
          </cell>
          <cell r="O319">
            <v>19800</v>
          </cell>
          <cell r="P319">
            <v>0.1</v>
          </cell>
          <cell r="Q319">
            <v>0.25</v>
          </cell>
        </row>
        <row r="320">
          <cell r="B320" t="str">
            <v>Electric LinesAerial1 x 0.4 kV2 phase(s)wire:AL, 25 mm2Wood Pole</v>
          </cell>
          <cell r="C320" t="str">
            <v>Electric Lines</v>
          </cell>
          <cell r="D320" t="str">
            <v>Aerial</v>
          </cell>
          <cell r="E320" t="str">
            <v>1 x 0.4 kV</v>
          </cell>
          <cell r="F320" t="str">
            <v>2 phase(s)</v>
          </cell>
          <cell r="G320" t="str">
            <v>wire:AL, 25 mm2</v>
          </cell>
          <cell r="H320" t="str">
            <v>Wood Pole</v>
          </cell>
          <cell r="I320">
            <v>8640</v>
          </cell>
          <cell r="J320">
            <v>25</v>
          </cell>
          <cell r="K320">
            <v>0.95</v>
          </cell>
          <cell r="L320">
            <v>5</v>
          </cell>
          <cell r="M320">
            <v>0.04</v>
          </cell>
          <cell r="N320">
            <v>5</v>
          </cell>
          <cell r="O320">
            <v>12800</v>
          </cell>
          <cell r="P320">
            <v>0.1</v>
          </cell>
          <cell r="Q320">
            <v>0.25</v>
          </cell>
        </row>
        <row r="321">
          <cell r="B321" t="str">
            <v>Electric LinesAerial1 x 0.4 kV2 phase(s)wire:AL, 25 mm2Console</v>
          </cell>
          <cell r="C321" t="str">
            <v>Electric Lines</v>
          </cell>
          <cell r="D321" t="str">
            <v>Aerial</v>
          </cell>
          <cell r="E321" t="str">
            <v>1 x 0.4 kV</v>
          </cell>
          <cell r="F321" t="str">
            <v>2 phase(s)</v>
          </cell>
          <cell r="G321" t="str">
            <v>wire:AL, 25 mm2</v>
          </cell>
          <cell r="H321" t="str">
            <v>Console</v>
          </cell>
          <cell r="I321">
            <v>6412.5</v>
          </cell>
          <cell r="J321">
            <v>25</v>
          </cell>
          <cell r="K321">
            <v>0.95</v>
          </cell>
          <cell r="L321">
            <v>5</v>
          </cell>
          <cell r="M321">
            <v>0.04</v>
          </cell>
          <cell r="N321">
            <v>5</v>
          </cell>
          <cell r="O321">
            <v>9500</v>
          </cell>
          <cell r="P321">
            <v>0.1</v>
          </cell>
          <cell r="Q321">
            <v>0.25</v>
          </cell>
        </row>
        <row r="322">
          <cell r="B322" t="str">
            <v>Electric LinesAerial1 x 0.4 kV2 phase(s)wire:AL, 25 mm2Only the wire</v>
          </cell>
          <cell r="C322" t="str">
            <v>Electric Lines</v>
          </cell>
          <cell r="D322" t="str">
            <v>Aerial</v>
          </cell>
          <cell r="E322" t="str">
            <v>1 x 0.4 kV</v>
          </cell>
          <cell r="F322" t="str">
            <v>2 phase(s)</v>
          </cell>
          <cell r="G322" t="str">
            <v>wire:AL, 25 mm2</v>
          </cell>
          <cell r="H322" t="str">
            <v>Only the wire</v>
          </cell>
          <cell r="I322">
            <v>2970</v>
          </cell>
          <cell r="J322">
            <v>25</v>
          </cell>
          <cell r="K322">
            <v>0.95</v>
          </cell>
          <cell r="L322">
            <v>5</v>
          </cell>
          <cell r="M322">
            <v>0.04</v>
          </cell>
          <cell r="N322">
            <v>5</v>
          </cell>
          <cell r="O322">
            <v>4400</v>
          </cell>
          <cell r="P322">
            <v>0.1</v>
          </cell>
          <cell r="Q322">
            <v>0.25</v>
          </cell>
        </row>
        <row r="323">
          <cell r="B323" t="str">
            <v>Electric LinesAerial1 x 0.4 kV2 phase(s)wire:AL, 30 mm2Concrete Pole</v>
          </cell>
          <cell r="C323" t="str">
            <v>Electric Lines</v>
          </cell>
          <cell r="D323" t="str">
            <v>Aerial</v>
          </cell>
          <cell r="E323" t="str">
            <v>1 x 0.4 kV</v>
          </cell>
          <cell r="F323" t="str">
            <v>2 phase(s)</v>
          </cell>
          <cell r="G323" t="str">
            <v>wire:AL, 30 mm2</v>
          </cell>
          <cell r="H323" t="str">
            <v>Concrete Pole</v>
          </cell>
          <cell r="I323">
            <v>11002.5</v>
          </cell>
          <cell r="J323">
            <v>30</v>
          </cell>
          <cell r="K323">
            <v>0.95</v>
          </cell>
          <cell r="L323">
            <v>7</v>
          </cell>
          <cell r="M323">
            <v>0.04</v>
          </cell>
          <cell r="N323">
            <v>5</v>
          </cell>
          <cell r="O323">
            <v>16300</v>
          </cell>
          <cell r="P323">
            <v>0.1</v>
          </cell>
          <cell r="Q323">
            <v>0.25</v>
          </cell>
        </row>
        <row r="324">
          <cell r="B324" t="str">
            <v>Electric LinesAerial1 x 0.4 kV2 phase(s)wire:AL, 30 mm2Metal Pole</v>
          </cell>
          <cell r="C324" t="str">
            <v>Electric Lines</v>
          </cell>
          <cell r="D324" t="str">
            <v>Aerial</v>
          </cell>
          <cell r="E324" t="str">
            <v>1 x 0.4 kV</v>
          </cell>
          <cell r="F324" t="str">
            <v>2 phase(s)</v>
          </cell>
          <cell r="G324" t="str">
            <v>wire:AL, 30 mm2</v>
          </cell>
          <cell r="H324" t="str">
            <v>Metal Pole</v>
          </cell>
          <cell r="I324">
            <v>14917.5</v>
          </cell>
          <cell r="J324">
            <v>30</v>
          </cell>
          <cell r="K324">
            <v>0.95</v>
          </cell>
          <cell r="L324">
            <v>7</v>
          </cell>
          <cell r="M324">
            <v>0.04</v>
          </cell>
          <cell r="N324">
            <v>5</v>
          </cell>
          <cell r="O324">
            <v>22100</v>
          </cell>
          <cell r="P324">
            <v>0.1</v>
          </cell>
          <cell r="Q324">
            <v>0.25</v>
          </cell>
        </row>
        <row r="325">
          <cell r="B325" t="str">
            <v>Electric LinesAerial1 x 0.4 kV2 phase(s)wire:AL, 30 mm2Wood Pole</v>
          </cell>
          <cell r="C325" t="str">
            <v>Electric Lines</v>
          </cell>
          <cell r="D325" t="str">
            <v>Aerial</v>
          </cell>
          <cell r="E325" t="str">
            <v>1 x 0.4 kV</v>
          </cell>
          <cell r="F325" t="str">
            <v>2 phase(s)</v>
          </cell>
          <cell r="G325" t="str">
            <v>wire:AL, 30 mm2</v>
          </cell>
          <cell r="H325" t="str">
            <v>Wood Pole</v>
          </cell>
          <cell r="I325">
            <v>9652.5</v>
          </cell>
          <cell r="J325">
            <v>25</v>
          </cell>
          <cell r="K325">
            <v>0.95</v>
          </cell>
          <cell r="L325">
            <v>5</v>
          </cell>
          <cell r="M325">
            <v>0.04</v>
          </cell>
          <cell r="N325">
            <v>5</v>
          </cell>
          <cell r="O325">
            <v>14300</v>
          </cell>
          <cell r="P325">
            <v>0.1</v>
          </cell>
          <cell r="Q325">
            <v>0.25</v>
          </cell>
        </row>
        <row r="326">
          <cell r="B326" t="str">
            <v>Electric LinesAerial1 x 0.4 kV2 phase(s)wire:AL, 30 mm2Console</v>
          </cell>
          <cell r="C326" t="str">
            <v>Electric Lines</v>
          </cell>
          <cell r="D326" t="str">
            <v>Aerial</v>
          </cell>
          <cell r="E326" t="str">
            <v>1 x 0.4 kV</v>
          </cell>
          <cell r="F326" t="str">
            <v>2 phase(s)</v>
          </cell>
          <cell r="G326" t="str">
            <v>wire:AL, 30 mm2</v>
          </cell>
          <cell r="H326" t="str">
            <v>Console</v>
          </cell>
          <cell r="I326">
            <v>7222.5</v>
          </cell>
          <cell r="J326">
            <v>25</v>
          </cell>
          <cell r="K326">
            <v>0.95</v>
          </cell>
          <cell r="L326">
            <v>5</v>
          </cell>
          <cell r="M326">
            <v>0.04</v>
          </cell>
          <cell r="N326">
            <v>5</v>
          </cell>
          <cell r="O326">
            <v>10700</v>
          </cell>
          <cell r="P326">
            <v>0.1</v>
          </cell>
          <cell r="Q326">
            <v>0.25</v>
          </cell>
        </row>
        <row r="327">
          <cell r="B327" t="str">
            <v>Electric LinesAerial1 x 0.4 kV2 phase(s)wire:AL, 30 mm2Only the wire</v>
          </cell>
          <cell r="C327" t="str">
            <v>Electric Lines</v>
          </cell>
          <cell r="D327" t="str">
            <v>Aerial</v>
          </cell>
          <cell r="E327" t="str">
            <v>1 x 0.4 kV</v>
          </cell>
          <cell r="F327" t="str">
            <v>2 phase(s)</v>
          </cell>
          <cell r="G327" t="str">
            <v>wire:AL, 30 mm2</v>
          </cell>
          <cell r="H327" t="str">
            <v>Only the wire</v>
          </cell>
          <cell r="I327">
            <v>3375</v>
          </cell>
          <cell r="J327">
            <v>25</v>
          </cell>
          <cell r="K327">
            <v>0.95</v>
          </cell>
          <cell r="L327">
            <v>5</v>
          </cell>
          <cell r="M327">
            <v>0.04</v>
          </cell>
          <cell r="N327">
            <v>5</v>
          </cell>
          <cell r="O327">
            <v>5000</v>
          </cell>
          <cell r="P327">
            <v>0.1</v>
          </cell>
          <cell r="Q327">
            <v>0.25</v>
          </cell>
        </row>
        <row r="328">
          <cell r="B328" t="str">
            <v>Electric LinesAerial1 x 0.4 kV2 phase(s)wire:AL, 35 mm2Concrete Pole</v>
          </cell>
          <cell r="C328" t="str">
            <v>Electric Lines</v>
          </cell>
          <cell r="D328" t="str">
            <v>Aerial</v>
          </cell>
          <cell r="E328" t="str">
            <v>1 x 0.4 kV</v>
          </cell>
          <cell r="F328" t="str">
            <v>2 phase(s)</v>
          </cell>
          <cell r="G328" t="str">
            <v>wire:AL, 35 mm2</v>
          </cell>
          <cell r="H328" t="str">
            <v>Concrete Pole</v>
          </cell>
          <cell r="I328">
            <v>11002.5</v>
          </cell>
          <cell r="J328">
            <v>30</v>
          </cell>
          <cell r="K328">
            <v>0.95</v>
          </cell>
          <cell r="L328">
            <v>7</v>
          </cell>
          <cell r="M328">
            <v>0.04</v>
          </cell>
          <cell r="N328">
            <v>5</v>
          </cell>
          <cell r="O328">
            <v>16300</v>
          </cell>
          <cell r="P328">
            <v>0.1</v>
          </cell>
          <cell r="Q328">
            <v>0.25</v>
          </cell>
        </row>
        <row r="329">
          <cell r="B329" t="str">
            <v>Electric LinesAerial1 x 0.4 kV2 phase(s)wire:AL, 35 mm2Metal Pole</v>
          </cell>
          <cell r="C329" t="str">
            <v>Electric Lines</v>
          </cell>
          <cell r="D329" t="str">
            <v>Aerial</v>
          </cell>
          <cell r="E329" t="str">
            <v>1 x 0.4 kV</v>
          </cell>
          <cell r="F329" t="str">
            <v>2 phase(s)</v>
          </cell>
          <cell r="G329" t="str">
            <v>wire:AL, 35 mm2</v>
          </cell>
          <cell r="H329" t="str">
            <v>Metal Pole</v>
          </cell>
          <cell r="I329">
            <v>14917.5</v>
          </cell>
          <cell r="J329">
            <v>30</v>
          </cell>
          <cell r="K329">
            <v>0.95</v>
          </cell>
          <cell r="L329">
            <v>7</v>
          </cell>
          <cell r="M329">
            <v>0.04</v>
          </cell>
          <cell r="N329">
            <v>5</v>
          </cell>
          <cell r="O329">
            <v>22100</v>
          </cell>
          <cell r="P329">
            <v>0.1</v>
          </cell>
          <cell r="Q329">
            <v>0.25</v>
          </cell>
        </row>
        <row r="330">
          <cell r="B330" t="str">
            <v>Electric LinesAerial1 x 0.4 kV2 phase(s)wire:AL, 35 mm2Wood Pole</v>
          </cell>
          <cell r="C330" t="str">
            <v>Electric Lines</v>
          </cell>
          <cell r="D330" t="str">
            <v>Aerial</v>
          </cell>
          <cell r="E330" t="str">
            <v>1 x 0.4 kV</v>
          </cell>
          <cell r="F330" t="str">
            <v>2 phase(s)</v>
          </cell>
          <cell r="G330" t="str">
            <v>wire:AL, 35 mm2</v>
          </cell>
          <cell r="H330" t="str">
            <v>Wood Pole</v>
          </cell>
          <cell r="I330">
            <v>9652.5</v>
          </cell>
          <cell r="J330">
            <v>25</v>
          </cell>
          <cell r="K330">
            <v>0.95</v>
          </cell>
          <cell r="L330">
            <v>5</v>
          </cell>
          <cell r="M330">
            <v>0.04</v>
          </cell>
          <cell r="N330">
            <v>5</v>
          </cell>
          <cell r="O330">
            <v>14300</v>
          </cell>
          <cell r="P330">
            <v>0.1</v>
          </cell>
          <cell r="Q330">
            <v>0.25</v>
          </cell>
        </row>
        <row r="331">
          <cell r="B331" t="str">
            <v>Electric LinesAerial1 x 0.4 kV2 phase(s)wire:AL, 35 mm2Console</v>
          </cell>
          <cell r="C331" t="str">
            <v>Electric Lines</v>
          </cell>
          <cell r="D331" t="str">
            <v>Aerial</v>
          </cell>
          <cell r="E331" t="str">
            <v>1 x 0.4 kV</v>
          </cell>
          <cell r="F331" t="str">
            <v>2 phase(s)</v>
          </cell>
          <cell r="G331" t="str">
            <v>wire:AL, 35 mm2</v>
          </cell>
          <cell r="H331" t="str">
            <v>Console</v>
          </cell>
          <cell r="I331">
            <v>7222.5</v>
          </cell>
          <cell r="J331">
            <v>25</v>
          </cell>
          <cell r="K331">
            <v>0.95</v>
          </cell>
          <cell r="L331">
            <v>5</v>
          </cell>
          <cell r="M331">
            <v>0.04</v>
          </cell>
          <cell r="N331">
            <v>5</v>
          </cell>
          <cell r="O331">
            <v>10700</v>
          </cell>
          <cell r="P331">
            <v>0.1</v>
          </cell>
          <cell r="Q331">
            <v>0.25</v>
          </cell>
        </row>
        <row r="332">
          <cell r="B332" t="str">
            <v>Electric LinesAerial1 x 0.4 kV2 phase(s)wire:AL, 35 mm2Only the wire</v>
          </cell>
          <cell r="C332" t="str">
            <v>Electric Lines</v>
          </cell>
          <cell r="D332" t="str">
            <v>Aerial</v>
          </cell>
          <cell r="E332" t="str">
            <v>1 x 0.4 kV</v>
          </cell>
          <cell r="F332" t="str">
            <v>2 phase(s)</v>
          </cell>
          <cell r="G332" t="str">
            <v>wire:AL, 35 mm2</v>
          </cell>
          <cell r="H332" t="str">
            <v>Only the wire</v>
          </cell>
          <cell r="I332">
            <v>3375</v>
          </cell>
          <cell r="J332">
            <v>25</v>
          </cell>
          <cell r="K332">
            <v>0.95</v>
          </cell>
          <cell r="L332">
            <v>5</v>
          </cell>
          <cell r="M332">
            <v>0.04</v>
          </cell>
          <cell r="N332">
            <v>5</v>
          </cell>
          <cell r="O332">
            <v>5000</v>
          </cell>
          <cell r="P332">
            <v>0.1</v>
          </cell>
          <cell r="Q332">
            <v>0.25</v>
          </cell>
        </row>
        <row r="333">
          <cell r="B333" t="str">
            <v>Electric LinesAerial1 x 0.4 kV2 phase(s)wire:AL, 50 mm2Concrete Pole</v>
          </cell>
          <cell r="C333" t="str">
            <v>Electric Lines</v>
          </cell>
          <cell r="D333" t="str">
            <v>Aerial</v>
          </cell>
          <cell r="E333" t="str">
            <v>1 x 0.4 kV</v>
          </cell>
          <cell r="F333" t="str">
            <v>2 phase(s)</v>
          </cell>
          <cell r="G333" t="str">
            <v>wire:AL, 50 mm2</v>
          </cell>
          <cell r="H333" t="str">
            <v>Concrete Pole</v>
          </cell>
          <cell r="I333">
            <v>11677.5</v>
          </cell>
          <cell r="J333">
            <v>30</v>
          </cell>
          <cell r="K333">
            <v>0.95</v>
          </cell>
          <cell r="L333">
            <v>7</v>
          </cell>
          <cell r="M333">
            <v>0.04</v>
          </cell>
          <cell r="N333">
            <v>5</v>
          </cell>
          <cell r="O333">
            <v>17300</v>
          </cell>
          <cell r="P333">
            <v>0.1</v>
          </cell>
          <cell r="Q333">
            <v>0.25</v>
          </cell>
        </row>
        <row r="334">
          <cell r="B334" t="str">
            <v>Electric LinesAerial1 x 0.4 kV2 phase(s)wire:AL, 50 mm2Metal Pole</v>
          </cell>
          <cell r="C334" t="str">
            <v>Electric Lines</v>
          </cell>
          <cell r="D334" t="str">
            <v>Aerial</v>
          </cell>
          <cell r="E334" t="str">
            <v>1 x 0.4 kV</v>
          </cell>
          <cell r="F334" t="str">
            <v>2 phase(s)</v>
          </cell>
          <cell r="G334" t="str">
            <v>wire:AL, 50 mm2</v>
          </cell>
          <cell r="H334" t="str">
            <v>Metal Pole</v>
          </cell>
          <cell r="I334">
            <v>15795</v>
          </cell>
          <cell r="J334">
            <v>30</v>
          </cell>
          <cell r="K334">
            <v>0.95</v>
          </cell>
          <cell r="L334">
            <v>7</v>
          </cell>
          <cell r="M334">
            <v>0.04</v>
          </cell>
          <cell r="N334">
            <v>5</v>
          </cell>
          <cell r="O334">
            <v>23400</v>
          </cell>
          <cell r="P334">
            <v>0.1</v>
          </cell>
          <cell r="Q334">
            <v>0.25</v>
          </cell>
        </row>
        <row r="335">
          <cell r="B335" t="str">
            <v>Electric LinesAerial1 x 0.4 kV2 phase(s)wire:AL, 50 mm2Wood Pole</v>
          </cell>
          <cell r="C335" t="str">
            <v>Electric Lines</v>
          </cell>
          <cell r="D335" t="str">
            <v>Aerial</v>
          </cell>
          <cell r="E335" t="str">
            <v>1 x 0.4 kV</v>
          </cell>
          <cell r="F335" t="str">
            <v>2 phase(s)</v>
          </cell>
          <cell r="G335" t="str">
            <v>wire:AL, 50 mm2</v>
          </cell>
          <cell r="H335" t="str">
            <v>Wood Pole</v>
          </cell>
          <cell r="I335">
            <v>10192.5</v>
          </cell>
          <cell r="J335">
            <v>25</v>
          </cell>
          <cell r="K335">
            <v>0.95</v>
          </cell>
          <cell r="L335">
            <v>5</v>
          </cell>
          <cell r="M335">
            <v>0.04</v>
          </cell>
          <cell r="N335">
            <v>5</v>
          </cell>
          <cell r="O335">
            <v>15100</v>
          </cell>
          <cell r="P335">
            <v>0.1</v>
          </cell>
          <cell r="Q335">
            <v>0.25</v>
          </cell>
        </row>
        <row r="336">
          <cell r="B336" t="str">
            <v>Electric LinesAerial1 x 0.4 kV2 phase(s)wire:AL, 50 mm2Console</v>
          </cell>
          <cell r="C336" t="str">
            <v>Electric Lines</v>
          </cell>
          <cell r="D336" t="str">
            <v>Aerial</v>
          </cell>
          <cell r="E336" t="str">
            <v>1 x 0.4 kV</v>
          </cell>
          <cell r="F336" t="str">
            <v>2 phase(s)</v>
          </cell>
          <cell r="G336" t="str">
            <v>wire:AL, 50 mm2</v>
          </cell>
          <cell r="H336" t="str">
            <v>Console</v>
          </cell>
          <cell r="I336">
            <v>7627.5</v>
          </cell>
          <cell r="J336">
            <v>25</v>
          </cell>
          <cell r="K336">
            <v>0.95</v>
          </cell>
          <cell r="L336">
            <v>5</v>
          </cell>
          <cell r="M336">
            <v>0.04</v>
          </cell>
          <cell r="N336">
            <v>5</v>
          </cell>
          <cell r="O336">
            <v>11300</v>
          </cell>
          <cell r="P336">
            <v>0.1</v>
          </cell>
          <cell r="Q336">
            <v>0.25</v>
          </cell>
        </row>
        <row r="337">
          <cell r="B337" t="str">
            <v>Electric LinesAerial1 x 0.4 kV2 phase(s)wire:AL, 50 mm2Only the wire</v>
          </cell>
          <cell r="C337" t="str">
            <v>Electric Lines</v>
          </cell>
          <cell r="D337" t="str">
            <v>Aerial</v>
          </cell>
          <cell r="E337" t="str">
            <v>1 x 0.4 kV</v>
          </cell>
          <cell r="F337" t="str">
            <v>2 phase(s)</v>
          </cell>
          <cell r="G337" t="str">
            <v>wire:AL, 50 mm2</v>
          </cell>
          <cell r="H337" t="str">
            <v>Only the wire</v>
          </cell>
          <cell r="I337">
            <v>3577.5</v>
          </cell>
          <cell r="J337">
            <v>25</v>
          </cell>
          <cell r="K337">
            <v>0.95</v>
          </cell>
          <cell r="L337">
            <v>5</v>
          </cell>
          <cell r="M337">
            <v>0.04</v>
          </cell>
          <cell r="N337">
            <v>5</v>
          </cell>
          <cell r="O337">
            <v>5300</v>
          </cell>
          <cell r="P337">
            <v>0.1</v>
          </cell>
          <cell r="Q337">
            <v>0.25</v>
          </cell>
        </row>
        <row r="338">
          <cell r="B338" t="str">
            <v>Electric LinesAerial1 x 0.4 kV2 phase(s)wire:AL, 70 mm2Concrete Pole</v>
          </cell>
          <cell r="C338" t="str">
            <v>Electric Lines</v>
          </cell>
          <cell r="D338" t="str">
            <v>Aerial</v>
          </cell>
          <cell r="E338" t="str">
            <v>1 x 0.4 kV</v>
          </cell>
          <cell r="F338" t="str">
            <v>2 phase(s)</v>
          </cell>
          <cell r="G338" t="str">
            <v>wire:AL, 70 mm2</v>
          </cell>
          <cell r="H338" t="str">
            <v>Concrete Pole</v>
          </cell>
          <cell r="I338">
            <v>12352.5</v>
          </cell>
          <cell r="J338">
            <v>30</v>
          </cell>
          <cell r="K338">
            <v>0.95</v>
          </cell>
          <cell r="L338">
            <v>7</v>
          </cell>
          <cell r="M338">
            <v>0.04</v>
          </cell>
          <cell r="N338">
            <v>5</v>
          </cell>
          <cell r="O338">
            <v>18300</v>
          </cell>
          <cell r="P338">
            <v>0.1</v>
          </cell>
          <cell r="Q338">
            <v>0.25</v>
          </cell>
        </row>
        <row r="339">
          <cell r="B339" t="str">
            <v>Electric LinesAerial1 x 0.4 kV2 phase(s)wire:AL, 70 mm2Metal Pole</v>
          </cell>
          <cell r="C339" t="str">
            <v>Electric Lines</v>
          </cell>
          <cell r="D339" t="str">
            <v>Aerial</v>
          </cell>
          <cell r="E339" t="str">
            <v>1 x 0.4 kV</v>
          </cell>
          <cell r="F339" t="str">
            <v>2 phase(s)</v>
          </cell>
          <cell r="G339" t="str">
            <v>wire:AL, 70 mm2</v>
          </cell>
          <cell r="H339" t="str">
            <v>Metal Pole</v>
          </cell>
          <cell r="I339">
            <v>16740</v>
          </cell>
          <cell r="J339">
            <v>30</v>
          </cell>
          <cell r="K339">
            <v>0.95</v>
          </cell>
          <cell r="L339">
            <v>7</v>
          </cell>
          <cell r="M339">
            <v>0.04</v>
          </cell>
          <cell r="N339">
            <v>5</v>
          </cell>
          <cell r="O339">
            <v>24800</v>
          </cell>
          <cell r="P339">
            <v>0.1</v>
          </cell>
          <cell r="Q339">
            <v>0.25</v>
          </cell>
        </row>
        <row r="340">
          <cell r="B340" t="str">
            <v>Electric LinesAerial1 x 0.4 kV2 phase(s)wire:AL, 70 mm2Wood Pole</v>
          </cell>
          <cell r="C340" t="str">
            <v>Electric Lines</v>
          </cell>
          <cell r="D340" t="str">
            <v>Aerial</v>
          </cell>
          <cell r="E340" t="str">
            <v>1 x 0.4 kV</v>
          </cell>
          <cell r="F340" t="str">
            <v>2 phase(s)</v>
          </cell>
          <cell r="G340" t="str">
            <v>wire:AL, 70 mm2</v>
          </cell>
          <cell r="H340" t="str">
            <v>Wood Pole</v>
          </cell>
          <cell r="I340">
            <v>10800</v>
          </cell>
          <cell r="J340">
            <v>25</v>
          </cell>
          <cell r="K340">
            <v>0.95</v>
          </cell>
          <cell r="L340">
            <v>5</v>
          </cell>
          <cell r="M340">
            <v>0.04</v>
          </cell>
          <cell r="N340">
            <v>5</v>
          </cell>
          <cell r="O340">
            <v>16000</v>
          </cell>
          <cell r="P340">
            <v>0.1</v>
          </cell>
          <cell r="Q340">
            <v>0.25</v>
          </cell>
        </row>
        <row r="341">
          <cell r="B341" t="str">
            <v>Electric LinesAerial1 x 0.4 kV2 phase(s)wire:AL, 70 mm2Console</v>
          </cell>
          <cell r="C341" t="str">
            <v>Electric Lines</v>
          </cell>
          <cell r="D341" t="str">
            <v>Aerial</v>
          </cell>
          <cell r="E341" t="str">
            <v>1 x 0.4 kV</v>
          </cell>
          <cell r="F341" t="str">
            <v>2 phase(s)</v>
          </cell>
          <cell r="G341" t="str">
            <v>wire:AL, 70 mm2</v>
          </cell>
          <cell r="H341" t="str">
            <v>Console</v>
          </cell>
          <cell r="I341">
            <v>8100</v>
          </cell>
          <cell r="J341">
            <v>25</v>
          </cell>
          <cell r="K341">
            <v>0.95</v>
          </cell>
          <cell r="L341">
            <v>5</v>
          </cell>
          <cell r="M341">
            <v>0.04</v>
          </cell>
          <cell r="N341">
            <v>5</v>
          </cell>
          <cell r="O341">
            <v>12000</v>
          </cell>
          <cell r="P341">
            <v>0.1</v>
          </cell>
          <cell r="Q341">
            <v>0.25</v>
          </cell>
        </row>
        <row r="342">
          <cell r="B342" t="str">
            <v>Electric LinesAerial1 x 0.4 kV2 phase(s)wire:AL, 70 mm2Only the wire</v>
          </cell>
          <cell r="C342" t="str">
            <v>Electric Lines</v>
          </cell>
          <cell r="D342" t="str">
            <v>Aerial</v>
          </cell>
          <cell r="E342" t="str">
            <v>1 x 0.4 kV</v>
          </cell>
          <cell r="F342" t="str">
            <v>2 phase(s)</v>
          </cell>
          <cell r="G342" t="str">
            <v>wire:AL, 70 mm2</v>
          </cell>
          <cell r="H342" t="str">
            <v>Only the wire</v>
          </cell>
          <cell r="I342">
            <v>3780</v>
          </cell>
          <cell r="J342">
            <v>25</v>
          </cell>
          <cell r="K342">
            <v>0.95</v>
          </cell>
          <cell r="L342">
            <v>5</v>
          </cell>
          <cell r="M342">
            <v>0.04</v>
          </cell>
          <cell r="N342">
            <v>5</v>
          </cell>
          <cell r="O342">
            <v>5600</v>
          </cell>
          <cell r="P342">
            <v>0.1</v>
          </cell>
          <cell r="Q342">
            <v>0.25</v>
          </cell>
        </row>
        <row r="343">
          <cell r="B343" t="str">
            <v>Electric LinesAerial1 x 0.4 kV2 phase(s)wire:AL+(OL-AL), 35 mm2Concrete Pole</v>
          </cell>
          <cell r="C343" t="str">
            <v>Electric Lines</v>
          </cell>
          <cell r="D343" t="str">
            <v>Aerial</v>
          </cell>
          <cell r="E343" t="str">
            <v>1 x 0.4 kV</v>
          </cell>
          <cell r="F343" t="str">
            <v>2 phase(s)</v>
          </cell>
          <cell r="G343" t="str">
            <v>wire:AL+(OL-AL), 35 mm2</v>
          </cell>
          <cell r="H343" t="str">
            <v>Concrete Pole</v>
          </cell>
          <cell r="I343">
            <v>12352.5</v>
          </cell>
          <cell r="J343">
            <v>30</v>
          </cell>
          <cell r="K343">
            <v>0.95</v>
          </cell>
          <cell r="L343">
            <v>7</v>
          </cell>
          <cell r="M343">
            <v>0.04</v>
          </cell>
          <cell r="N343">
            <v>5</v>
          </cell>
          <cell r="O343">
            <v>18300</v>
          </cell>
          <cell r="P343">
            <v>0.1</v>
          </cell>
          <cell r="Q343">
            <v>0.25</v>
          </cell>
        </row>
        <row r="344">
          <cell r="B344" t="str">
            <v>Electric LinesAerial1 x 0.4 kV2 phase(s)wire:AL+(OL-AL), 35 mm2Metal Pole</v>
          </cell>
          <cell r="C344" t="str">
            <v>Electric Lines</v>
          </cell>
          <cell r="D344" t="str">
            <v>Aerial</v>
          </cell>
          <cell r="E344" t="str">
            <v>1 x 0.4 kV</v>
          </cell>
          <cell r="F344" t="str">
            <v>2 phase(s)</v>
          </cell>
          <cell r="G344" t="str">
            <v>wire:AL+(OL-AL), 35 mm2</v>
          </cell>
          <cell r="H344" t="str">
            <v>Metal Pole</v>
          </cell>
          <cell r="I344">
            <v>16740</v>
          </cell>
          <cell r="J344">
            <v>30</v>
          </cell>
          <cell r="K344">
            <v>0.95</v>
          </cell>
          <cell r="L344">
            <v>7</v>
          </cell>
          <cell r="M344">
            <v>0.04</v>
          </cell>
          <cell r="N344">
            <v>5</v>
          </cell>
          <cell r="O344">
            <v>24800</v>
          </cell>
          <cell r="P344">
            <v>0.1</v>
          </cell>
          <cell r="Q344">
            <v>0.25</v>
          </cell>
        </row>
        <row r="345">
          <cell r="B345" t="str">
            <v>Electric LinesAerial1 x 0.4 kV2 phase(s)wire:AL+(OL-AL), 35 mm2Wood Pole</v>
          </cell>
          <cell r="C345" t="str">
            <v>Electric Lines</v>
          </cell>
          <cell r="D345" t="str">
            <v>Aerial</v>
          </cell>
          <cell r="E345" t="str">
            <v>1 x 0.4 kV</v>
          </cell>
          <cell r="F345" t="str">
            <v>2 phase(s)</v>
          </cell>
          <cell r="G345" t="str">
            <v>wire:AL+(OL-AL), 35 mm2</v>
          </cell>
          <cell r="H345" t="str">
            <v>Wood Pole</v>
          </cell>
          <cell r="I345">
            <v>10800</v>
          </cell>
          <cell r="J345">
            <v>25</v>
          </cell>
          <cell r="K345">
            <v>0.95</v>
          </cell>
          <cell r="L345">
            <v>5</v>
          </cell>
          <cell r="M345">
            <v>0.04</v>
          </cell>
          <cell r="N345">
            <v>5</v>
          </cell>
          <cell r="O345">
            <v>16000</v>
          </cell>
          <cell r="P345">
            <v>0.1</v>
          </cell>
          <cell r="Q345">
            <v>0.25</v>
          </cell>
        </row>
        <row r="346">
          <cell r="B346" t="str">
            <v>Electric LinesAerial1 x 0.4 kV2 phase(s)wire:AL+(OL-AL), 35 mm2Console</v>
          </cell>
          <cell r="C346" t="str">
            <v>Electric Lines</v>
          </cell>
          <cell r="D346" t="str">
            <v>Aerial</v>
          </cell>
          <cell r="E346" t="str">
            <v>1 x 0.4 kV</v>
          </cell>
          <cell r="F346" t="str">
            <v>2 phase(s)</v>
          </cell>
          <cell r="G346" t="str">
            <v>wire:AL+(OL-AL), 35 mm2</v>
          </cell>
          <cell r="H346" t="str">
            <v>Console</v>
          </cell>
          <cell r="I346">
            <v>8100</v>
          </cell>
          <cell r="J346">
            <v>25</v>
          </cell>
          <cell r="K346">
            <v>0.95</v>
          </cell>
          <cell r="L346">
            <v>5</v>
          </cell>
          <cell r="M346">
            <v>0.04</v>
          </cell>
          <cell r="N346">
            <v>5</v>
          </cell>
          <cell r="O346">
            <v>12000</v>
          </cell>
          <cell r="P346">
            <v>0.1</v>
          </cell>
          <cell r="Q346">
            <v>0.25</v>
          </cell>
        </row>
        <row r="347">
          <cell r="B347" t="str">
            <v>Electric LinesAerial1 x 0.4 kV2 phase(s)wire:AL+(OL-AL), 35 mm2Only the wire</v>
          </cell>
          <cell r="C347" t="str">
            <v>Electric Lines</v>
          </cell>
          <cell r="D347" t="str">
            <v>Aerial</v>
          </cell>
          <cell r="E347" t="str">
            <v>1 x 0.4 kV</v>
          </cell>
          <cell r="F347" t="str">
            <v>2 phase(s)</v>
          </cell>
          <cell r="G347" t="str">
            <v>wire:AL+(OL-AL), 35 mm2</v>
          </cell>
          <cell r="H347" t="str">
            <v>Only the wire</v>
          </cell>
          <cell r="I347">
            <v>3780</v>
          </cell>
          <cell r="J347">
            <v>25</v>
          </cell>
          <cell r="K347">
            <v>0.95</v>
          </cell>
          <cell r="L347">
            <v>5</v>
          </cell>
          <cell r="M347">
            <v>0.04</v>
          </cell>
          <cell r="N347">
            <v>5</v>
          </cell>
          <cell r="O347">
            <v>5600</v>
          </cell>
          <cell r="P347">
            <v>0.1</v>
          </cell>
          <cell r="Q347">
            <v>0.25</v>
          </cell>
        </row>
        <row r="348">
          <cell r="B348" t="str">
            <v>Electric LinesAerial1 x 0.4 kV3 phase(s)wire:AL, 16 mm2Concrete Pole</v>
          </cell>
          <cell r="C348" t="str">
            <v>Electric Lines</v>
          </cell>
          <cell r="D348" t="str">
            <v>Aerial</v>
          </cell>
          <cell r="E348" t="str">
            <v>1 x 0.4 kV</v>
          </cell>
          <cell r="F348" t="str">
            <v>3 phase(s)</v>
          </cell>
          <cell r="G348" t="str">
            <v>wire:AL, 16 mm2</v>
          </cell>
          <cell r="H348" t="str">
            <v>Concrete Pole</v>
          </cell>
          <cell r="I348">
            <v>9315</v>
          </cell>
          <cell r="J348">
            <v>30</v>
          </cell>
          <cell r="K348">
            <v>0.95</v>
          </cell>
          <cell r="L348">
            <v>7</v>
          </cell>
          <cell r="M348">
            <v>0.04</v>
          </cell>
          <cell r="N348">
            <v>5</v>
          </cell>
          <cell r="O348">
            <v>13800</v>
          </cell>
          <cell r="P348">
            <v>0.1</v>
          </cell>
          <cell r="Q348">
            <v>0.25</v>
          </cell>
        </row>
        <row r="349">
          <cell r="B349" t="str">
            <v>Electric LinesAerial1 x 0.4 kV3 phase(s)wire:AL, 16 mm2Metal Pole</v>
          </cell>
          <cell r="C349" t="str">
            <v>Electric Lines</v>
          </cell>
          <cell r="D349" t="str">
            <v>Aerial</v>
          </cell>
          <cell r="E349" t="str">
            <v>1 x 0.4 kV</v>
          </cell>
          <cell r="F349" t="str">
            <v>3 phase(s)</v>
          </cell>
          <cell r="G349" t="str">
            <v>wire:AL, 16 mm2</v>
          </cell>
          <cell r="H349" t="str">
            <v>Metal Pole</v>
          </cell>
          <cell r="I349">
            <v>12622.5</v>
          </cell>
          <cell r="J349">
            <v>30</v>
          </cell>
          <cell r="K349">
            <v>0.95</v>
          </cell>
          <cell r="L349">
            <v>7</v>
          </cell>
          <cell r="M349">
            <v>0.04</v>
          </cell>
          <cell r="N349">
            <v>5</v>
          </cell>
          <cell r="O349">
            <v>18700</v>
          </cell>
          <cell r="P349">
            <v>0.1</v>
          </cell>
          <cell r="Q349">
            <v>0.25</v>
          </cell>
        </row>
        <row r="350">
          <cell r="B350" t="str">
            <v>Electric LinesAerial1 x 0.4 kV3 phase(s)wire:AL, 16 mm2Wood Pole</v>
          </cell>
          <cell r="C350" t="str">
            <v>Electric Lines</v>
          </cell>
          <cell r="D350" t="str">
            <v>Aerial</v>
          </cell>
          <cell r="E350" t="str">
            <v>1 x 0.4 kV</v>
          </cell>
          <cell r="F350" t="str">
            <v>3 phase(s)</v>
          </cell>
          <cell r="G350" t="str">
            <v>wire:AL, 16 mm2</v>
          </cell>
          <cell r="H350" t="str">
            <v>Wood Pole</v>
          </cell>
          <cell r="I350">
            <v>8167.5</v>
          </cell>
          <cell r="J350">
            <v>25</v>
          </cell>
          <cell r="K350">
            <v>0.95</v>
          </cell>
          <cell r="L350">
            <v>5</v>
          </cell>
          <cell r="M350">
            <v>0.04</v>
          </cell>
          <cell r="N350">
            <v>5</v>
          </cell>
          <cell r="O350">
            <v>12100</v>
          </cell>
          <cell r="P350">
            <v>0.1</v>
          </cell>
          <cell r="Q350">
            <v>0.25</v>
          </cell>
        </row>
        <row r="351">
          <cell r="B351" t="str">
            <v>Electric LinesAerial1 x 0.4 kV3 phase(s)wire:AL, 16 mm2Console</v>
          </cell>
          <cell r="C351" t="str">
            <v>Electric Lines</v>
          </cell>
          <cell r="D351" t="str">
            <v>Aerial</v>
          </cell>
          <cell r="E351" t="str">
            <v>1 x 0.4 kV</v>
          </cell>
          <cell r="F351" t="str">
            <v>3 phase(s)</v>
          </cell>
          <cell r="G351" t="str">
            <v>wire:AL, 16 mm2</v>
          </cell>
          <cell r="H351" t="str">
            <v>Console</v>
          </cell>
          <cell r="I351">
            <v>6075</v>
          </cell>
          <cell r="J351">
            <v>25</v>
          </cell>
          <cell r="K351">
            <v>0.95</v>
          </cell>
          <cell r="L351">
            <v>5</v>
          </cell>
          <cell r="M351">
            <v>0.04</v>
          </cell>
          <cell r="N351">
            <v>5</v>
          </cell>
          <cell r="O351">
            <v>9000</v>
          </cell>
          <cell r="P351">
            <v>0.1</v>
          </cell>
          <cell r="Q351">
            <v>0.25</v>
          </cell>
        </row>
        <row r="352">
          <cell r="B352" t="str">
            <v>Electric LinesAerial1 x 0.4 kV3 phase(s)wire:AL, 16 mm2Only the wire</v>
          </cell>
          <cell r="C352" t="str">
            <v>Electric Lines</v>
          </cell>
          <cell r="D352" t="str">
            <v>Aerial</v>
          </cell>
          <cell r="E352" t="str">
            <v>1 x 0.4 kV</v>
          </cell>
          <cell r="F352" t="str">
            <v>3 phase(s)</v>
          </cell>
          <cell r="G352" t="str">
            <v>wire:AL, 16 mm2</v>
          </cell>
          <cell r="H352" t="str">
            <v>Only the wire</v>
          </cell>
          <cell r="I352">
            <v>2835</v>
          </cell>
          <cell r="J352">
            <v>25</v>
          </cell>
          <cell r="K352">
            <v>0.95</v>
          </cell>
          <cell r="L352">
            <v>5</v>
          </cell>
          <cell r="M352">
            <v>0.04</v>
          </cell>
          <cell r="N352">
            <v>5</v>
          </cell>
          <cell r="O352">
            <v>4200</v>
          </cell>
          <cell r="P352">
            <v>0.1</v>
          </cell>
          <cell r="Q352">
            <v>0.25</v>
          </cell>
        </row>
        <row r="353">
          <cell r="B353" t="str">
            <v>Electric LinesAerial1 x 0.4 kV3 phase(s)wire:AL, 20 mm2Concrete Pole</v>
          </cell>
          <cell r="C353" t="str">
            <v>Electric Lines</v>
          </cell>
          <cell r="D353" t="str">
            <v>Aerial</v>
          </cell>
          <cell r="E353" t="str">
            <v>1 x 0.4 kV</v>
          </cell>
          <cell r="F353" t="str">
            <v>3 phase(s)</v>
          </cell>
          <cell r="G353" t="str">
            <v>wire:AL, 20 mm2</v>
          </cell>
          <cell r="H353" t="str">
            <v>Concrete Pole</v>
          </cell>
          <cell r="I353">
            <v>9855</v>
          </cell>
          <cell r="J353">
            <v>30</v>
          </cell>
          <cell r="K353">
            <v>0.95</v>
          </cell>
          <cell r="L353">
            <v>7</v>
          </cell>
          <cell r="M353">
            <v>0.04</v>
          </cell>
          <cell r="N353">
            <v>5</v>
          </cell>
          <cell r="O353">
            <v>14600</v>
          </cell>
          <cell r="P353">
            <v>0.1</v>
          </cell>
          <cell r="Q353">
            <v>0.25</v>
          </cell>
        </row>
        <row r="354">
          <cell r="B354" t="str">
            <v>Electric LinesAerial1 x 0.4 kV3 phase(s)wire:AL, 20 mm2Metal Pole</v>
          </cell>
          <cell r="C354" t="str">
            <v>Electric Lines</v>
          </cell>
          <cell r="D354" t="str">
            <v>Aerial</v>
          </cell>
          <cell r="E354" t="str">
            <v>1 x 0.4 kV</v>
          </cell>
          <cell r="F354" t="str">
            <v>3 phase(s)</v>
          </cell>
          <cell r="G354" t="str">
            <v>wire:AL, 20 mm2</v>
          </cell>
          <cell r="H354" t="str">
            <v>Metal Pole</v>
          </cell>
          <cell r="I354">
            <v>13365</v>
          </cell>
          <cell r="J354">
            <v>30</v>
          </cell>
          <cell r="K354">
            <v>0.95</v>
          </cell>
          <cell r="L354">
            <v>7</v>
          </cell>
          <cell r="M354">
            <v>0.04</v>
          </cell>
          <cell r="N354">
            <v>5</v>
          </cell>
          <cell r="O354">
            <v>19800</v>
          </cell>
          <cell r="P354">
            <v>0.1</v>
          </cell>
          <cell r="Q354">
            <v>0.25</v>
          </cell>
        </row>
        <row r="355">
          <cell r="B355" t="str">
            <v>Electric LinesAerial1 x 0.4 kV3 phase(s)wire:AL, 20 mm2Wood Pole</v>
          </cell>
          <cell r="C355" t="str">
            <v>Electric Lines</v>
          </cell>
          <cell r="D355" t="str">
            <v>Aerial</v>
          </cell>
          <cell r="E355" t="str">
            <v>1 x 0.4 kV</v>
          </cell>
          <cell r="F355" t="str">
            <v>3 phase(s)</v>
          </cell>
          <cell r="G355" t="str">
            <v>wire:AL, 20 mm2</v>
          </cell>
          <cell r="H355" t="str">
            <v>Wood Pole</v>
          </cell>
          <cell r="I355">
            <v>8640</v>
          </cell>
          <cell r="J355">
            <v>25</v>
          </cell>
          <cell r="K355">
            <v>0.95</v>
          </cell>
          <cell r="L355">
            <v>5</v>
          </cell>
          <cell r="M355">
            <v>0.04</v>
          </cell>
          <cell r="N355">
            <v>5</v>
          </cell>
          <cell r="O355">
            <v>12800</v>
          </cell>
          <cell r="P355">
            <v>0.1</v>
          </cell>
          <cell r="Q355">
            <v>0.25</v>
          </cell>
        </row>
        <row r="356">
          <cell r="B356" t="str">
            <v>Electric LinesAerial1 x 0.4 kV3 phase(s)wire:AL, 20 mm2Console</v>
          </cell>
          <cell r="C356" t="str">
            <v>Electric Lines</v>
          </cell>
          <cell r="D356" t="str">
            <v>Aerial</v>
          </cell>
          <cell r="E356" t="str">
            <v>1 x 0.4 kV</v>
          </cell>
          <cell r="F356" t="str">
            <v>3 phase(s)</v>
          </cell>
          <cell r="G356" t="str">
            <v>wire:AL, 20 mm2</v>
          </cell>
          <cell r="H356" t="str">
            <v>Console</v>
          </cell>
          <cell r="I356">
            <v>6412.5</v>
          </cell>
          <cell r="J356">
            <v>25</v>
          </cell>
          <cell r="K356">
            <v>0.95</v>
          </cell>
          <cell r="L356">
            <v>5</v>
          </cell>
          <cell r="M356">
            <v>0.04</v>
          </cell>
          <cell r="N356">
            <v>5</v>
          </cell>
          <cell r="O356">
            <v>9500</v>
          </cell>
          <cell r="P356">
            <v>0.1</v>
          </cell>
          <cell r="Q356">
            <v>0.25</v>
          </cell>
        </row>
        <row r="357">
          <cell r="B357" t="str">
            <v>Electric LinesAerial1 x 0.4 kV3 phase(s)wire:AL, 20 mm2Only the wire</v>
          </cell>
          <cell r="C357" t="str">
            <v>Electric Lines</v>
          </cell>
          <cell r="D357" t="str">
            <v>Aerial</v>
          </cell>
          <cell r="E357" t="str">
            <v>1 x 0.4 kV</v>
          </cell>
          <cell r="F357" t="str">
            <v>3 phase(s)</v>
          </cell>
          <cell r="G357" t="str">
            <v>wire:AL, 20 mm2</v>
          </cell>
          <cell r="H357" t="str">
            <v>Only the wire</v>
          </cell>
          <cell r="I357">
            <v>2970</v>
          </cell>
          <cell r="J357">
            <v>25</v>
          </cell>
          <cell r="K357">
            <v>0.95</v>
          </cell>
          <cell r="L357">
            <v>5</v>
          </cell>
          <cell r="M357">
            <v>0.04</v>
          </cell>
          <cell r="N357">
            <v>5</v>
          </cell>
          <cell r="O357">
            <v>4400</v>
          </cell>
          <cell r="P357">
            <v>0.1</v>
          </cell>
          <cell r="Q357">
            <v>0.25</v>
          </cell>
        </row>
        <row r="358">
          <cell r="B358" t="str">
            <v>Electric LinesAerial1 x 0.4 kV3 phase(s)wire:AL, 25 mm2Concrete Pole</v>
          </cell>
          <cell r="C358" t="str">
            <v>Electric Lines</v>
          </cell>
          <cell r="D358" t="str">
            <v>Aerial</v>
          </cell>
          <cell r="E358" t="str">
            <v>1 x 0.4 kV</v>
          </cell>
          <cell r="F358" t="str">
            <v>3 phase(s)</v>
          </cell>
          <cell r="G358" t="str">
            <v>wire:AL, 25 mm2</v>
          </cell>
          <cell r="H358" t="str">
            <v>Concrete Pole</v>
          </cell>
          <cell r="I358">
            <v>10395</v>
          </cell>
          <cell r="J358">
            <v>30</v>
          </cell>
          <cell r="K358">
            <v>0.95</v>
          </cell>
          <cell r="L358">
            <v>7</v>
          </cell>
          <cell r="M358">
            <v>0.04</v>
          </cell>
          <cell r="N358">
            <v>5</v>
          </cell>
          <cell r="O358">
            <v>15400</v>
          </cell>
          <cell r="P358">
            <v>0.1</v>
          </cell>
          <cell r="Q358">
            <v>0.25</v>
          </cell>
        </row>
        <row r="359">
          <cell r="B359" t="str">
            <v>Electric LinesAerial1 x 0.4 kV3 phase(s)wire:AL, 25 mm2Metal Pole</v>
          </cell>
          <cell r="C359" t="str">
            <v>Electric Lines</v>
          </cell>
          <cell r="D359" t="str">
            <v>Aerial</v>
          </cell>
          <cell r="E359" t="str">
            <v>1 x 0.4 kV</v>
          </cell>
          <cell r="F359" t="str">
            <v>3 phase(s)</v>
          </cell>
          <cell r="G359" t="str">
            <v>wire:AL, 25 mm2</v>
          </cell>
          <cell r="H359" t="str">
            <v>Metal Pole</v>
          </cell>
          <cell r="I359">
            <v>14107.5</v>
          </cell>
          <cell r="J359">
            <v>30</v>
          </cell>
          <cell r="K359">
            <v>0.95</v>
          </cell>
          <cell r="L359">
            <v>7</v>
          </cell>
          <cell r="M359">
            <v>0.04</v>
          </cell>
          <cell r="N359">
            <v>5</v>
          </cell>
          <cell r="O359">
            <v>20900</v>
          </cell>
          <cell r="P359">
            <v>0.1</v>
          </cell>
          <cell r="Q359">
            <v>0.25</v>
          </cell>
        </row>
        <row r="360">
          <cell r="B360" t="str">
            <v>Electric LinesAerial1 x 0.4 kV3 phase(s)wire:AL, 25 mm2Wood Pole</v>
          </cell>
          <cell r="C360" t="str">
            <v>Electric Lines</v>
          </cell>
          <cell r="D360" t="str">
            <v>Aerial</v>
          </cell>
          <cell r="E360" t="str">
            <v>1 x 0.4 kV</v>
          </cell>
          <cell r="F360" t="str">
            <v>3 phase(s)</v>
          </cell>
          <cell r="G360" t="str">
            <v>wire:AL, 25 mm2</v>
          </cell>
          <cell r="H360" t="str">
            <v>Wood Pole</v>
          </cell>
          <cell r="I360">
            <v>9112.5</v>
          </cell>
          <cell r="J360">
            <v>25</v>
          </cell>
          <cell r="K360">
            <v>0.95</v>
          </cell>
          <cell r="L360">
            <v>5</v>
          </cell>
          <cell r="M360">
            <v>0.04</v>
          </cell>
          <cell r="N360">
            <v>5</v>
          </cell>
          <cell r="O360">
            <v>13500</v>
          </cell>
          <cell r="P360">
            <v>0.1</v>
          </cell>
          <cell r="Q360">
            <v>0.25</v>
          </cell>
        </row>
        <row r="361">
          <cell r="B361" t="str">
            <v>Electric LinesAerial1 x 0.4 kV3 phase(s)wire:AL, 25 mm2Console</v>
          </cell>
          <cell r="C361" t="str">
            <v>Electric Lines</v>
          </cell>
          <cell r="D361" t="str">
            <v>Aerial</v>
          </cell>
          <cell r="E361" t="str">
            <v>1 x 0.4 kV</v>
          </cell>
          <cell r="F361" t="str">
            <v>3 phase(s)</v>
          </cell>
          <cell r="G361" t="str">
            <v>wire:AL, 25 mm2</v>
          </cell>
          <cell r="H361" t="str">
            <v>Console</v>
          </cell>
          <cell r="I361">
            <v>6817.5</v>
          </cell>
          <cell r="J361">
            <v>25</v>
          </cell>
          <cell r="K361">
            <v>0.95</v>
          </cell>
          <cell r="L361">
            <v>5</v>
          </cell>
          <cell r="M361">
            <v>0.04</v>
          </cell>
          <cell r="N361">
            <v>5</v>
          </cell>
          <cell r="O361">
            <v>10100</v>
          </cell>
          <cell r="P361">
            <v>0.1</v>
          </cell>
          <cell r="Q361">
            <v>0.25</v>
          </cell>
        </row>
        <row r="362">
          <cell r="B362" t="str">
            <v>Electric LinesAerial1 x 0.4 kV3 phase(s)wire:AL, 25 mm2Only the wire</v>
          </cell>
          <cell r="C362" t="str">
            <v>Electric Lines</v>
          </cell>
          <cell r="D362" t="str">
            <v>Aerial</v>
          </cell>
          <cell r="E362" t="str">
            <v>1 x 0.4 kV</v>
          </cell>
          <cell r="F362" t="str">
            <v>3 phase(s)</v>
          </cell>
          <cell r="G362" t="str">
            <v>wire:AL, 25 mm2</v>
          </cell>
          <cell r="H362" t="str">
            <v>Only the wire</v>
          </cell>
          <cell r="I362">
            <v>3172.5</v>
          </cell>
          <cell r="J362">
            <v>25</v>
          </cell>
          <cell r="K362">
            <v>0.95</v>
          </cell>
          <cell r="L362">
            <v>5</v>
          </cell>
          <cell r="M362">
            <v>0.04</v>
          </cell>
          <cell r="N362">
            <v>5</v>
          </cell>
          <cell r="O362">
            <v>4700</v>
          </cell>
          <cell r="P362">
            <v>0.1</v>
          </cell>
          <cell r="Q362">
            <v>0.25</v>
          </cell>
        </row>
        <row r="363">
          <cell r="B363" t="str">
            <v>Electric LinesAerial1 x 0.4 kV3 phase(s)wire:AL, 30 mm2Concrete Pole</v>
          </cell>
          <cell r="C363" t="str">
            <v>Electric Lines</v>
          </cell>
          <cell r="D363" t="str">
            <v>Aerial</v>
          </cell>
          <cell r="E363" t="str">
            <v>1 x 0.4 kV</v>
          </cell>
          <cell r="F363" t="str">
            <v>3 phase(s)</v>
          </cell>
          <cell r="G363" t="str">
            <v>wire:AL, 30 mm2</v>
          </cell>
          <cell r="H363" t="str">
            <v>Concrete Pole</v>
          </cell>
          <cell r="I363">
            <v>11002.5</v>
          </cell>
          <cell r="J363">
            <v>30</v>
          </cell>
          <cell r="K363">
            <v>0.95</v>
          </cell>
          <cell r="L363">
            <v>7</v>
          </cell>
          <cell r="M363">
            <v>0.04</v>
          </cell>
          <cell r="N363">
            <v>5</v>
          </cell>
          <cell r="O363">
            <v>16300</v>
          </cell>
          <cell r="P363">
            <v>0.1</v>
          </cell>
          <cell r="Q363">
            <v>0.25</v>
          </cell>
        </row>
        <row r="364">
          <cell r="B364" t="str">
            <v>Electric LinesAerial1 x 0.4 kV3 phase(s)wire:AL, 30 mm2Metal Pole</v>
          </cell>
          <cell r="C364" t="str">
            <v>Electric Lines</v>
          </cell>
          <cell r="D364" t="str">
            <v>Aerial</v>
          </cell>
          <cell r="E364" t="str">
            <v>1 x 0.4 kV</v>
          </cell>
          <cell r="F364" t="str">
            <v>3 phase(s)</v>
          </cell>
          <cell r="G364" t="str">
            <v>wire:AL, 30 mm2</v>
          </cell>
          <cell r="H364" t="str">
            <v>Metal Pole</v>
          </cell>
          <cell r="I364">
            <v>14917.5</v>
          </cell>
          <cell r="J364">
            <v>30</v>
          </cell>
          <cell r="K364">
            <v>0.95</v>
          </cell>
          <cell r="L364">
            <v>7</v>
          </cell>
          <cell r="M364">
            <v>0.04</v>
          </cell>
          <cell r="N364">
            <v>5</v>
          </cell>
          <cell r="O364">
            <v>22100</v>
          </cell>
          <cell r="P364">
            <v>0.1</v>
          </cell>
          <cell r="Q364">
            <v>0.25</v>
          </cell>
        </row>
        <row r="365">
          <cell r="B365" t="str">
            <v>Electric LinesAerial1 x 0.4 kV3 phase(s)wire:AL, 30 mm2Wood Pole</v>
          </cell>
          <cell r="C365" t="str">
            <v>Electric Lines</v>
          </cell>
          <cell r="D365" t="str">
            <v>Aerial</v>
          </cell>
          <cell r="E365" t="str">
            <v>1 x 0.4 kV</v>
          </cell>
          <cell r="F365" t="str">
            <v>3 phase(s)</v>
          </cell>
          <cell r="G365" t="str">
            <v>wire:AL, 30 mm2</v>
          </cell>
          <cell r="H365" t="str">
            <v>Wood Pole</v>
          </cell>
          <cell r="I365">
            <v>9652.5</v>
          </cell>
          <cell r="J365">
            <v>25</v>
          </cell>
          <cell r="K365">
            <v>0.95</v>
          </cell>
          <cell r="L365">
            <v>5</v>
          </cell>
          <cell r="M365">
            <v>0.04</v>
          </cell>
          <cell r="N365">
            <v>5</v>
          </cell>
          <cell r="O365">
            <v>14300</v>
          </cell>
          <cell r="P365">
            <v>0.1</v>
          </cell>
          <cell r="Q365">
            <v>0.25</v>
          </cell>
        </row>
        <row r="366">
          <cell r="B366" t="str">
            <v>Electric LinesAerial1 x 0.4 kV3 phase(s)wire:AL, 30 mm2Console</v>
          </cell>
          <cell r="C366" t="str">
            <v>Electric Lines</v>
          </cell>
          <cell r="D366" t="str">
            <v>Aerial</v>
          </cell>
          <cell r="E366" t="str">
            <v>1 x 0.4 kV</v>
          </cell>
          <cell r="F366" t="str">
            <v>3 phase(s)</v>
          </cell>
          <cell r="G366" t="str">
            <v>wire:AL, 30 mm2</v>
          </cell>
          <cell r="H366" t="str">
            <v>Console</v>
          </cell>
          <cell r="I366">
            <v>7222.5</v>
          </cell>
          <cell r="J366">
            <v>25</v>
          </cell>
          <cell r="K366">
            <v>0.95</v>
          </cell>
          <cell r="L366">
            <v>5</v>
          </cell>
          <cell r="M366">
            <v>0.04</v>
          </cell>
          <cell r="N366">
            <v>5</v>
          </cell>
          <cell r="O366">
            <v>10700</v>
          </cell>
          <cell r="P366">
            <v>0.1</v>
          </cell>
          <cell r="Q366">
            <v>0.25</v>
          </cell>
        </row>
        <row r="367">
          <cell r="B367" t="str">
            <v>Electric LinesAerial1 x 0.4 kV3 phase(s)wire:AL, 30 mm2Only the wire</v>
          </cell>
          <cell r="C367" t="str">
            <v>Electric Lines</v>
          </cell>
          <cell r="D367" t="str">
            <v>Aerial</v>
          </cell>
          <cell r="E367" t="str">
            <v>1 x 0.4 kV</v>
          </cell>
          <cell r="F367" t="str">
            <v>3 phase(s)</v>
          </cell>
          <cell r="G367" t="str">
            <v>wire:AL, 30 mm2</v>
          </cell>
          <cell r="H367" t="str">
            <v>Only the wire</v>
          </cell>
          <cell r="I367">
            <v>3375</v>
          </cell>
          <cell r="J367">
            <v>25</v>
          </cell>
          <cell r="K367">
            <v>0.95</v>
          </cell>
          <cell r="L367">
            <v>5</v>
          </cell>
          <cell r="M367">
            <v>0.04</v>
          </cell>
          <cell r="N367">
            <v>5</v>
          </cell>
          <cell r="O367">
            <v>5000</v>
          </cell>
          <cell r="P367">
            <v>0.1</v>
          </cell>
          <cell r="Q367">
            <v>0.25</v>
          </cell>
        </row>
        <row r="368">
          <cell r="B368" t="str">
            <v>Electric LinesAerial1 x 0.4 kV3 phase(s)wire:AL, 35 mm2Concrete Pole</v>
          </cell>
          <cell r="C368" t="str">
            <v>Electric Lines</v>
          </cell>
          <cell r="D368" t="str">
            <v>Aerial</v>
          </cell>
          <cell r="E368" t="str">
            <v>1 x 0.4 kV</v>
          </cell>
          <cell r="F368" t="str">
            <v>3 phase(s)</v>
          </cell>
          <cell r="G368" t="str">
            <v>wire:AL, 35 mm2</v>
          </cell>
          <cell r="H368" t="str">
            <v>Concrete Pole</v>
          </cell>
          <cell r="I368">
            <v>11677.5</v>
          </cell>
          <cell r="J368">
            <v>30</v>
          </cell>
          <cell r="K368">
            <v>0.95</v>
          </cell>
          <cell r="L368">
            <v>7</v>
          </cell>
          <cell r="M368">
            <v>0.04</v>
          </cell>
          <cell r="N368">
            <v>5</v>
          </cell>
          <cell r="O368">
            <v>17300</v>
          </cell>
          <cell r="P368">
            <v>0.1</v>
          </cell>
          <cell r="Q368">
            <v>0.25</v>
          </cell>
        </row>
        <row r="369">
          <cell r="B369" t="str">
            <v>Electric LinesAerial1 x 0.4 kV3 phase(s)wire:AL, 35 mm2Metal Pole</v>
          </cell>
          <cell r="C369" t="str">
            <v>Electric Lines</v>
          </cell>
          <cell r="D369" t="str">
            <v>Aerial</v>
          </cell>
          <cell r="E369" t="str">
            <v>1 x 0.4 kV</v>
          </cell>
          <cell r="F369" t="str">
            <v>3 phase(s)</v>
          </cell>
          <cell r="G369" t="str">
            <v>wire:AL, 35 mm2</v>
          </cell>
          <cell r="H369" t="str">
            <v>Metal Pole</v>
          </cell>
          <cell r="I369">
            <v>15795</v>
          </cell>
          <cell r="J369">
            <v>30</v>
          </cell>
          <cell r="K369">
            <v>0.95</v>
          </cell>
          <cell r="L369">
            <v>7</v>
          </cell>
          <cell r="M369">
            <v>0.04</v>
          </cell>
          <cell r="N369">
            <v>5</v>
          </cell>
          <cell r="O369">
            <v>23400</v>
          </cell>
          <cell r="P369">
            <v>0.1</v>
          </cell>
          <cell r="Q369">
            <v>0.25</v>
          </cell>
        </row>
        <row r="370">
          <cell r="B370" t="str">
            <v>Electric LinesAerial1 x 0.4 kV3 phase(s)wire:AL, 35 mm2Wood Pole</v>
          </cell>
          <cell r="C370" t="str">
            <v>Electric Lines</v>
          </cell>
          <cell r="D370" t="str">
            <v>Aerial</v>
          </cell>
          <cell r="E370" t="str">
            <v>1 x 0.4 kV</v>
          </cell>
          <cell r="F370" t="str">
            <v>3 phase(s)</v>
          </cell>
          <cell r="G370" t="str">
            <v>wire:AL, 35 mm2</v>
          </cell>
          <cell r="H370" t="str">
            <v>Wood Pole</v>
          </cell>
          <cell r="I370">
            <v>10192.5</v>
          </cell>
          <cell r="J370">
            <v>25</v>
          </cell>
          <cell r="K370">
            <v>0.95</v>
          </cell>
          <cell r="L370">
            <v>5</v>
          </cell>
          <cell r="M370">
            <v>0.04</v>
          </cell>
          <cell r="N370">
            <v>5</v>
          </cell>
          <cell r="O370">
            <v>15100</v>
          </cell>
          <cell r="P370">
            <v>0.1</v>
          </cell>
          <cell r="Q370">
            <v>0.25</v>
          </cell>
        </row>
        <row r="371">
          <cell r="B371" t="str">
            <v>Electric LinesAerial1 x 0.4 kV3 phase(s)wire:AL, 35 mm2Console</v>
          </cell>
          <cell r="C371" t="str">
            <v>Electric Lines</v>
          </cell>
          <cell r="D371" t="str">
            <v>Aerial</v>
          </cell>
          <cell r="E371" t="str">
            <v>1 x 0.4 kV</v>
          </cell>
          <cell r="F371" t="str">
            <v>3 phase(s)</v>
          </cell>
          <cell r="G371" t="str">
            <v>wire:AL, 35 mm2</v>
          </cell>
          <cell r="H371" t="str">
            <v>Console</v>
          </cell>
          <cell r="I371">
            <v>7627.5</v>
          </cell>
          <cell r="J371">
            <v>25</v>
          </cell>
          <cell r="K371">
            <v>0.95</v>
          </cell>
          <cell r="L371">
            <v>5</v>
          </cell>
          <cell r="M371">
            <v>0.04</v>
          </cell>
          <cell r="N371">
            <v>5</v>
          </cell>
          <cell r="O371">
            <v>11300</v>
          </cell>
          <cell r="P371">
            <v>0.1</v>
          </cell>
          <cell r="Q371">
            <v>0.25</v>
          </cell>
        </row>
        <row r="372">
          <cell r="B372" t="str">
            <v>Electric LinesAerial1 x 0.4 kV3 phase(s)wire:AL, 35 mm2Only the wire</v>
          </cell>
          <cell r="C372" t="str">
            <v>Electric Lines</v>
          </cell>
          <cell r="D372" t="str">
            <v>Aerial</v>
          </cell>
          <cell r="E372" t="str">
            <v>1 x 0.4 kV</v>
          </cell>
          <cell r="F372" t="str">
            <v>3 phase(s)</v>
          </cell>
          <cell r="G372" t="str">
            <v>wire:AL, 35 mm2</v>
          </cell>
          <cell r="H372" t="str">
            <v>Only the wire</v>
          </cell>
          <cell r="I372">
            <v>3577.5</v>
          </cell>
          <cell r="J372">
            <v>25</v>
          </cell>
          <cell r="K372">
            <v>0.95</v>
          </cell>
          <cell r="L372">
            <v>5</v>
          </cell>
          <cell r="M372">
            <v>0.04</v>
          </cell>
          <cell r="N372">
            <v>5</v>
          </cell>
          <cell r="O372">
            <v>5300</v>
          </cell>
          <cell r="P372">
            <v>0.1</v>
          </cell>
          <cell r="Q372">
            <v>0.25</v>
          </cell>
        </row>
        <row r="373">
          <cell r="B373" t="str">
            <v>Electric LinesAerial1 x 0.4 kV3 phase(s)wire:AL, 50 mm2Concrete Pole</v>
          </cell>
          <cell r="C373" t="str">
            <v>Electric Lines</v>
          </cell>
          <cell r="D373" t="str">
            <v>Aerial</v>
          </cell>
          <cell r="E373" t="str">
            <v>1 x 0.4 kV</v>
          </cell>
          <cell r="F373" t="str">
            <v>3 phase(s)</v>
          </cell>
          <cell r="G373" t="str">
            <v>wire:AL, 50 mm2</v>
          </cell>
          <cell r="H373" t="str">
            <v>Concrete Pole</v>
          </cell>
          <cell r="I373">
            <v>12352.5</v>
          </cell>
          <cell r="J373">
            <v>30</v>
          </cell>
          <cell r="K373">
            <v>0.95</v>
          </cell>
          <cell r="L373">
            <v>7</v>
          </cell>
          <cell r="M373">
            <v>0.04</v>
          </cell>
          <cell r="N373">
            <v>5</v>
          </cell>
          <cell r="O373">
            <v>18300</v>
          </cell>
          <cell r="P373">
            <v>0.1</v>
          </cell>
          <cell r="Q373">
            <v>0.25</v>
          </cell>
        </row>
        <row r="374">
          <cell r="B374" t="str">
            <v>Electric LinesAerial1 x 0.4 kV3 phase(s)wire:AL, 50 mm2Metal Pole</v>
          </cell>
          <cell r="C374" t="str">
            <v>Electric Lines</v>
          </cell>
          <cell r="D374" t="str">
            <v>Aerial</v>
          </cell>
          <cell r="E374" t="str">
            <v>1 x 0.4 kV</v>
          </cell>
          <cell r="F374" t="str">
            <v>3 phase(s)</v>
          </cell>
          <cell r="G374" t="str">
            <v>wire:AL, 50 mm2</v>
          </cell>
          <cell r="H374" t="str">
            <v>Metal Pole</v>
          </cell>
          <cell r="I374">
            <v>16740</v>
          </cell>
          <cell r="J374">
            <v>30</v>
          </cell>
          <cell r="K374">
            <v>0.95</v>
          </cell>
          <cell r="L374">
            <v>7</v>
          </cell>
          <cell r="M374">
            <v>0.04</v>
          </cell>
          <cell r="N374">
            <v>5</v>
          </cell>
          <cell r="O374">
            <v>24800</v>
          </cell>
          <cell r="P374">
            <v>0.1</v>
          </cell>
          <cell r="Q374">
            <v>0.25</v>
          </cell>
        </row>
        <row r="375">
          <cell r="B375" t="str">
            <v>Electric LinesAerial1 x 0.4 kV3 phase(s)wire:AL, 50 mm2Wood Pole</v>
          </cell>
          <cell r="C375" t="str">
            <v>Electric Lines</v>
          </cell>
          <cell r="D375" t="str">
            <v>Aerial</v>
          </cell>
          <cell r="E375" t="str">
            <v>1 x 0.4 kV</v>
          </cell>
          <cell r="F375" t="str">
            <v>3 phase(s)</v>
          </cell>
          <cell r="G375" t="str">
            <v>wire:AL, 50 mm2</v>
          </cell>
          <cell r="H375" t="str">
            <v>Wood Pole</v>
          </cell>
          <cell r="I375">
            <v>10800</v>
          </cell>
          <cell r="J375">
            <v>25</v>
          </cell>
          <cell r="K375">
            <v>0.95</v>
          </cell>
          <cell r="L375">
            <v>5</v>
          </cell>
          <cell r="M375">
            <v>0.04</v>
          </cell>
          <cell r="N375">
            <v>5</v>
          </cell>
          <cell r="O375">
            <v>16000</v>
          </cell>
          <cell r="P375">
            <v>0.1</v>
          </cell>
          <cell r="Q375">
            <v>0.25</v>
          </cell>
        </row>
        <row r="376">
          <cell r="B376" t="str">
            <v>Electric LinesAerial1 x 0.4 kV3 phase(s)wire:AL, 50 mm2Console</v>
          </cell>
          <cell r="C376" t="str">
            <v>Electric Lines</v>
          </cell>
          <cell r="D376" t="str">
            <v>Aerial</v>
          </cell>
          <cell r="E376" t="str">
            <v>1 x 0.4 kV</v>
          </cell>
          <cell r="F376" t="str">
            <v>3 phase(s)</v>
          </cell>
          <cell r="G376" t="str">
            <v>wire:AL, 50 mm2</v>
          </cell>
          <cell r="H376" t="str">
            <v>Console</v>
          </cell>
          <cell r="I376">
            <v>8100</v>
          </cell>
          <cell r="J376">
            <v>25</v>
          </cell>
          <cell r="K376">
            <v>0.95</v>
          </cell>
          <cell r="L376">
            <v>5</v>
          </cell>
          <cell r="M376">
            <v>0.04</v>
          </cell>
          <cell r="N376">
            <v>5</v>
          </cell>
          <cell r="O376">
            <v>12000</v>
          </cell>
          <cell r="P376">
            <v>0.1</v>
          </cell>
          <cell r="Q376">
            <v>0.25</v>
          </cell>
        </row>
        <row r="377">
          <cell r="B377" t="str">
            <v>Electric LinesAerial1 x 0.4 kV3 phase(s)wire:AL, 50 mm2Only the wire</v>
          </cell>
          <cell r="C377" t="str">
            <v>Electric Lines</v>
          </cell>
          <cell r="D377" t="str">
            <v>Aerial</v>
          </cell>
          <cell r="E377" t="str">
            <v>1 x 0.4 kV</v>
          </cell>
          <cell r="F377" t="str">
            <v>3 phase(s)</v>
          </cell>
          <cell r="G377" t="str">
            <v>wire:AL, 50 mm2</v>
          </cell>
          <cell r="H377" t="str">
            <v>Only the wire</v>
          </cell>
          <cell r="I377">
            <v>3780</v>
          </cell>
          <cell r="J377">
            <v>25</v>
          </cell>
          <cell r="K377">
            <v>0.95</v>
          </cell>
          <cell r="L377">
            <v>5</v>
          </cell>
          <cell r="M377">
            <v>0.04</v>
          </cell>
          <cell r="N377">
            <v>5</v>
          </cell>
          <cell r="O377">
            <v>5600</v>
          </cell>
          <cell r="P377">
            <v>0.1</v>
          </cell>
          <cell r="Q377">
            <v>0.25</v>
          </cell>
        </row>
        <row r="378">
          <cell r="B378" t="str">
            <v>Electric LinesAerial1 x 0.4 kV3 phase(s)wire:AL, 70 mm2Concrete Pole</v>
          </cell>
          <cell r="C378" t="str">
            <v>Electric Lines</v>
          </cell>
          <cell r="D378" t="str">
            <v>Aerial</v>
          </cell>
          <cell r="E378" t="str">
            <v>1 x 0.4 kV</v>
          </cell>
          <cell r="F378" t="str">
            <v>3 phase(s)</v>
          </cell>
          <cell r="G378" t="str">
            <v>wire:AL, 70 mm2</v>
          </cell>
          <cell r="H378" t="str">
            <v>Concrete Pole</v>
          </cell>
          <cell r="I378">
            <v>13095</v>
          </cell>
          <cell r="J378">
            <v>30</v>
          </cell>
          <cell r="K378">
            <v>0.95</v>
          </cell>
          <cell r="L378">
            <v>7</v>
          </cell>
          <cell r="M378">
            <v>0.04</v>
          </cell>
          <cell r="N378">
            <v>5</v>
          </cell>
          <cell r="O378">
            <v>19400</v>
          </cell>
          <cell r="P378">
            <v>0.1</v>
          </cell>
          <cell r="Q378">
            <v>0.25</v>
          </cell>
        </row>
        <row r="379">
          <cell r="B379" t="str">
            <v>Electric LinesAerial1 x 0.4 kV3 phase(s)wire:AL, 70 mm2Metal Pole</v>
          </cell>
          <cell r="C379" t="str">
            <v>Electric Lines</v>
          </cell>
          <cell r="D379" t="str">
            <v>Aerial</v>
          </cell>
          <cell r="E379" t="str">
            <v>1 x 0.4 kV</v>
          </cell>
          <cell r="F379" t="str">
            <v>3 phase(s)</v>
          </cell>
          <cell r="G379" t="str">
            <v>wire:AL, 70 mm2</v>
          </cell>
          <cell r="H379" t="str">
            <v>Metal Pole</v>
          </cell>
          <cell r="I379">
            <v>17685</v>
          </cell>
          <cell r="J379">
            <v>30</v>
          </cell>
          <cell r="K379">
            <v>0.95</v>
          </cell>
          <cell r="L379">
            <v>7</v>
          </cell>
          <cell r="M379">
            <v>0.04</v>
          </cell>
          <cell r="N379">
            <v>5</v>
          </cell>
          <cell r="O379">
            <v>26200</v>
          </cell>
          <cell r="P379">
            <v>0.1</v>
          </cell>
          <cell r="Q379">
            <v>0.25</v>
          </cell>
        </row>
        <row r="380">
          <cell r="B380" t="str">
            <v>Electric LinesAerial1 x 0.4 kV3 phase(s)wire:AL, 70 mm2Wood Pole</v>
          </cell>
          <cell r="C380" t="str">
            <v>Electric Lines</v>
          </cell>
          <cell r="D380" t="str">
            <v>Aerial</v>
          </cell>
          <cell r="E380" t="str">
            <v>1 x 0.4 kV</v>
          </cell>
          <cell r="F380" t="str">
            <v>3 phase(s)</v>
          </cell>
          <cell r="G380" t="str">
            <v>wire:AL, 70 mm2</v>
          </cell>
          <cell r="H380" t="str">
            <v>Wood Pole</v>
          </cell>
          <cell r="I380">
            <v>11407.5</v>
          </cell>
          <cell r="J380">
            <v>25</v>
          </cell>
          <cell r="K380">
            <v>0.95</v>
          </cell>
          <cell r="L380">
            <v>5</v>
          </cell>
          <cell r="M380">
            <v>0.04</v>
          </cell>
          <cell r="N380">
            <v>5</v>
          </cell>
          <cell r="O380">
            <v>16900</v>
          </cell>
          <cell r="P380">
            <v>0.1</v>
          </cell>
          <cell r="Q380">
            <v>0.25</v>
          </cell>
        </row>
        <row r="381">
          <cell r="B381" t="str">
            <v>Electric LinesAerial1 x 0.4 kV3 phase(s)wire:AL, 70 mm2Console</v>
          </cell>
          <cell r="C381" t="str">
            <v>Electric Lines</v>
          </cell>
          <cell r="D381" t="str">
            <v>Aerial</v>
          </cell>
          <cell r="E381" t="str">
            <v>1 x 0.4 kV</v>
          </cell>
          <cell r="F381" t="str">
            <v>3 phase(s)</v>
          </cell>
          <cell r="G381" t="str">
            <v>wire:AL, 70 mm2</v>
          </cell>
          <cell r="H381" t="str">
            <v>Console</v>
          </cell>
          <cell r="I381">
            <v>8572.5</v>
          </cell>
          <cell r="J381">
            <v>25</v>
          </cell>
          <cell r="K381">
            <v>0.95</v>
          </cell>
          <cell r="L381">
            <v>5</v>
          </cell>
          <cell r="M381">
            <v>0.04</v>
          </cell>
          <cell r="N381">
            <v>5</v>
          </cell>
          <cell r="O381">
            <v>12700</v>
          </cell>
          <cell r="P381">
            <v>0.1</v>
          </cell>
          <cell r="Q381">
            <v>0.25</v>
          </cell>
        </row>
        <row r="382">
          <cell r="B382" t="str">
            <v>Electric LinesAerial1 x 0.4 kV3 phase(s)wire:AL, 70 mm2Only the wire</v>
          </cell>
          <cell r="C382" t="str">
            <v>Electric Lines</v>
          </cell>
          <cell r="D382" t="str">
            <v>Aerial</v>
          </cell>
          <cell r="E382" t="str">
            <v>1 x 0.4 kV</v>
          </cell>
          <cell r="F382" t="str">
            <v>3 phase(s)</v>
          </cell>
          <cell r="G382" t="str">
            <v>wire:AL, 70 mm2</v>
          </cell>
          <cell r="H382" t="str">
            <v>Only the wire</v>
          </cell>
          <cell r="I382">
            <v>3982.5</v>
          </cell>
          <cell r="J382">
            <v>25</v>
          </cell>
          <cell r="K382">
            <v>0.95</v>
          </cell>
          <cell r="L382">
            <v>5</v>
          </cell>
          <cell r="M382">
            <v>0.04</v>
          </cell>
          <cell r="N382">
            <v>5</v>
          </cell>
          <cell r="O382">
            <v>5900</v>
          </cell>
          <cell r="P382">
            <v>0.1</v>
          </cell>
          <cell r="Q382">
            <v>0.25</v>
          </cell>
        </row>
        <row r="383">
          <cell r="B383" t="str">
            <v>Electric LinesAerial1 x 0.4 kV3 phase(s)wire:AL, 75 mm2Concrete Pole</v>
          </cell>
          <cell r="C383" t="str">
            <v>Electric Lines</v>
          </cell>
          <cell r="D383" t="str">
            <v>Aerial</v>
          </cell>
          <cell r="E383" t="str">
            <v>1 x 0.4 kV</v>
          </cell>
          <cell r="F383" t="str">
            <v>3 phase(s)</v>
          </cell>
          <cell r="G383" t="str">
            <v>wire:AL, 75 mm2</v>
          </cell>
          <cell r="H383" t="str">
            <v>Concrete Pole</v>
          </cell>
          <cell r="I383">
            <v>13837.5</v>
          </cell>
          <cell r="J383">
            <v>30</v>
          </cell>
          <cell r="K383">
            <v>0.95</v>
          </cell>
          <cell r="L383">
            <v>7</v>
          </cell>
          <cell r="M383">
            <v>0.04</v>
          </cell>
          <cell r="N383">
            <v>5</v>
          </cell>
          <cell r="O383">
            <v>20500</v>
          </cell>
          <cell r="P383">
            <v>0.1</v>
          </cell>
          <cell r="Q383">
            <v>0.25</v>
          </cell>
        </row>
        <row r="384">
          <cell r="B384" t="str">
            <v>Electric LinesAerial1 x 0.4 kV3 phase(s)wire:AL, 75 mm2Metal Pole</v>
          </cell>
          <cell r="C384" t="str">
            <v>Electric Lines</v>
          </cell>
          <cell r="D384" t="str">
            <v>Aerial</v>
          </cell>
          <cell r="E384" t="str">
            <v>1 x 0.4 kV</v>
          </cell>
          <cell r="F384" t="str">
            <v>3 phase(s)</v>
          </cell>
          <cell r="G384" t="str">
            <v>wire:AL, 75 mm2</v>
          </cell>
          <cell r="H384" t="str">
            <v>Metal Pole</v>
          </cell>
          <cell r="I384">
            <v>18697.5</v>
          </cell>
          <cell r="J384">
            <v>30</v>
          </cell>
          <cell r="K384">
            <v>0.95</v>
          </cell>
          <cell r="L384">
            <v>7</v>
          </cell>
          <cell r="M384">
            <v>0.04</v>
          </cell>
          <cell r="N384">
            <v>5</v>
          </cell>
          <cell r="O384">
            <v>27700</v>
          </cell>
          <cell r="P384">
            <v>0.1</v>
          </cell>
          <cell r="Q384">
            <v>0.25</v>
          </cell>
        </row>
        <row r="385">
          <cell r="B385" t="str">
            <v>Electric LinesAerial1 x 0.4 kV3 phase(s)wire:AL, 75 mm2Wood Pole</v>
          </cell>
          <cell r="C385" t="str">
            <v>Electric Lines</v>
          </cell>
          <cell r="D385" t="str">
            <v>Aerial</v>
          </cell>
          <cell r="E385" t="str">
            <v>1 x 0.4 kV</v>
          </cell>
          <cell r="F385" t="str">
            <v>3 phase(s)</v>
          </cell>
          <cell r="G385" t="str">
            <v>wire:AL, 75 mm2</v>
          </cell>
          <cell r="H385" t="str">
            <v>Wood Pole</v>
          </cell>
          <cell r="I385">
            <v>12082.5</v>
          </cell>
          <cell r="J385">
            <v>25</v>
          </cell>
          <cell r="K385">
            <v>0.95</v>
          </cell>
          <cell r="L385">
            <v>5</v>
          </cell>
          <cell r="M385">
            <v>0.04</v>
          </cell>
          <cell r="N385">
            <v>5</v>
          </cell>
          <cell r="O385">
            <v>17900</v>
          </cell>
          <cell r="P385">
            <v>0.1</v>
          </cell>
          <cell r="Q385">
            <v>0.25</v>
          </cell>
        </row>
        <row r="386">
          <cell r="B386" t="str">
            <v>Electric LinesAerial1 x 0.4 kV3 phase(s)wire:AL, 75 mm2Console</v>
          </cell>
          <cell r="C386" t="str">
            <v>Electric Lines</v>
          </cell>
          <cell r="D386" t="str">
            <v>Aerial</v>
          </cell>
          <cell r="E386" t="str">
            <v>1 x 0.4 kV</v>
          </cell>
          <cell r="F386" t="str">
            <v>3 phase(s)</v>
          </cell>
          <cell r="G386" t="str">
            <v>wire:AL, 75 mm2</v>
          </cell>
          <cell r="H386" t="str">
            <v>Console</v>
          </cell>
          <cell r="I386">
            <v>9045</v>
          </cell>
          <cell r="J386">
            <v>25</v>
          </cell>
          <cell r="K386">
            <v>0.95</v>
          </cell>
          <cell r="L386">
            <v>5</v>
          </cell>
          <cell r="M386">
            <v>0.04</v>
          </cell>
          <cell r="N386">
            <v>5</v>
          </cell>
          <cell r="O386">
            <v>13400</v>
          </cell>
          <cell r="P386">
            <v>0.1</v>
          </cell>
          <cell r="Q386">
            <v>0.25</v>
          </cell>
        </row>
        <row r="387">
          <cell r="B387" t="str">
            <v>Electric LinesAerial1 x 0.4 kV3 phase(s)wire:AL, 75 mm2Only the wire</v>
          </cell>
          <cell r="C387" t="str">
            <v>Electric Lines</v>
          </cell>
          <cell r="D387" t="str">
            <v>Aerial</v>
          </cell>
          <cell r="E387" t="str">
            <v>1 x 0.4 kV</v>
          </cell>
          <cell r="F387" t="str">
            <v>3 phase(s)</v>
          </cell>
          <cell r="G387" t="str">
            <v>wire:AL, 75 mm2</v>
          </cell>
          <cell r="H387" t="str">
            <v>Only the wire</v>
          </cell>
          <cell r="I387">
            <v>4185</v>
          </cell>
          <cell r="J387">
            <v>25</v>
          </cell>
          <cell r="K387">
            <v>0.95</v>
          </cell>
          <cell r="L387">
            <v>5</v>
          </cell>
          <cell r="M387">
            <v>0.04</v>
          </cell>
          <cell r="N387">
            <v>5</v>
          </cell>
          <cell r="O387">
            <v>6200</v>
          </cell>
          <cell r="P387">
            <v>0.1</v>
          </cell>
          <cell r="Q387">
            <v>0.25</v>
          </cell>
        </row>
        <row r="388">
          <cell r="B388" t="str">
            <v>Electric LinesAerial1 x 0.4 kV3 phase(s)wire:AL, 81 mm2Concrete Pole</v>
          </cell>
          <cell r="C388" t="str">
            <v>Electric Lines</v>
          </cell>
          <cell r="D388" t="str">
            <v>Aerial</v>
          </cell>
          <cell r="E388" t="str">
            <v>1 x 0.4 kV</v>
          </cell>
          <cell r="F388" t="str">
            <v>3 phase(s)</v>
          </cell>
          <cell r="G388" t="str">
            <v>wire:AL, 81 mm2</v>
          </cell>
          <cell r="H388" t="str">
            <v>Concrete Pole</v>
          </cell>
          <cell r="I388">
            <v>14647.5</v>
          </cell>
          <cell r="J388">
            <v>30</v>
          </cell>
          <cell r="K388">
            <v>0.95</v>
          </cell>
          <cell r="L388">
            <v>7</v>
          </cell>
          <cell r="M388">
            <v>0.04</v>
          </cell>
          <cell r="N388">
            <v>5</v>
          </cell>
          <cell r="O388">
            <v>21700</v>
          </cell>
          <cell r="P388">
            <v>0.1</v>
          </cell>
          <cell r="Q388">
            <v>0.25</v>
          </cell>
        </row>
        <row r="389">
          <cell r="B389" t="str">
            <v>Electric LinesAerial1 x 0.4 kV3 phase(s)wire:AL, 81 mm2Metal Pole</v>
          </cell>
          <cell r="C389" t="str">
            <v>Electric Lines</v>
          </cell>
          <cell r="D389" t="str">
            <v>Aerial</v>
          </cell>
          <cell r="E389" t="str">
            <v>1 x 0.4 kV</v>
          </cell>
          <cell r="F389" t="str">
            <v>3 phase(s)</v>
          </cell>
          <cell r="G389" t="str">
            <v>wire:AL, 81 mm2</v>
          </cell>
          <cell r="H389" t="str">
            <v>Metal Pole</v>
          </cell>
          <cell r="I389">
            <v>19777.5</v>
          </cell>
          <cell r="J389">
            <v>30</v>
          </cell>
          <cell r="K389">
            <v>0.95</v>
          </cell>
          <cell r="L389">
            <v>7</v>
          </cell>
          <cell r="M389">
            <v>0.04</v>
          </cell>
          <cell r="N389">
            <v>5</v>
          </cell>
          <cell r="O389">
            <v>29300</v>
          </cell>
          <cell r="P389">
            <v>0.1</v>
          </cell>
          <cell r="Q389">
            <v>0.25</v>
          </cell>
        </row>
        <row r="390">
          <cell r="B390" t="str">
            <v>Electric LinesAerial1 x 0.4 kV3 phase(s)wire:AL, 81 mm2Wood Pole</v>
          </cell>
          <cell r="C390" t="str">
            <v>Electric Lines</v>
          </cell>
          <cell r="D390" t="str">
            <v>Aerial</v>
          </cell>
          <cell r="E390" t="str">
            <v>1 x 0.4 kV</v>
          </cell>
          <cell r="F390" t="str">
            <v>3 phase(s)</v>
          </cell>
          <cell r="G390" t="str">
            <v>wire:AL, 81 mm2</v>
          </cell>
          <cell r="H390" t="str">
            <v>Wood Pole</v>
          </cell>
          <cell r="I390">
            <v>12757.5</v>
          </cell>
          <cell r="J390">
            <v>25</v>
          </cell>
          <cell r="K390">
            <v>0.95</v>
          </cell>
          <cell r="L390">
            <v>5</v>
          </cell>
          <cell r="M390">
            <v>0.04</v>
          </cell>
          <cell r="N390">
            <v>5</v>
          </cell>
          <cell r="O390">
            <v>18900</v>
          </cell>
          <cell r="P390">
            <v>0.1</v>
          </cell>
          <cell r="Q390">
            <v>0.25</v>
          </cell>
        </row>
        <row r="391">
          <cell r="B391" t="str">
            <v>Electric LinesAerial1 x 0.4 kV3 phase(s)wire:AL, 81 mm2Console</v>
          </cell>
          <cell r="C391" t="str">
            <v>Electric Lines</v>
          </cell>
          <cell r="D391" t="str">
            <v>Aerial</v>
          </cell>
          <cell r="E391" t="str">
            <v>1 x 0.4 kV</v>
          </cell>
          <cell r="F391" t="str">
            <v>3 phase(s)</v>
          </cell>
          <cell r="G391" t="str">
            <v>wire:AL, 81 mm2</v>
          </cell>
          <cell r="H391" t="str">
            <v>Console</v>
          </cell>
          <cell r="I391">
            <v>9585</v>
          </cell>
          <cell r="J391">
            <v>25</v>
          </cell>
          <cell r="K391">
            <v>0.95</v>
          </cell>
          <cell r="L391">
            <v>5</v>
          </cell>
          <cell r="M391">
            <v>0.04</v>
          </cell>
          <cell r="N391">
            <v>5</v>
          </cell>
          <cell r="O391">
            <v>14200</v>
          </cell>
          <cell r="P391">
            <v>0.1</v>
          </cell>
          <cell r="Q391">
            <v>0.25</v>
          </cell>
        </row>
        <row r="392">
          <cell r="B392" t="str">
            <v>Electric LinesAerial1 x 0.4 kV3 phase(s)wire:AL, 81 mm2Only the wire</v>
          </cell>
          <cell r="C392" t="str">
            <v>Electric Lines</v>
          </cell>
          <cell r="D392" t="str">
            <v>Aerial</v>
          </cell>
          <cell r="E392" t="str">
            <v>1 x 0.4 kV</v>
          </cell>
          <cell r="F392" t="str">
            <v>3 phase(s)</v>
          </cell>
          <cell r="G392" t="str">
            <v>wire:AL, 81 mm2</v>
          </cell>
          <cell r="H392" t="str">
            <v>Only the wire</v>
          </cell>
          <cell r="I392">
            <v>4455</v>
          </cell>
          <cell r="J392">
            <v>25</v>
          </cell>
          <cell r="K392">
            <v>0.95</v>
          </cell>
          <cell r="L392">
            <v>5</v>
          </cell>
          <cell r="M392">
            <v>0.04</v>
          </cell>
          <cell r="N392">
            <v>5</v>
          </cell>
          <cell r="O392">
            <v>6600</v>
          </cell>
          <cell r="P392">
            <v>0.1</v>
          </cell>
          <cell r="Q392">
            <v>0.25</v>
          </cell>
        </row>
        <row r="393">
          <cell r="B393" t="str">
            <v>Electric LinesAerial1 x 0.4 kV3 phase(s)wire:AL, 95 mm2Concrete Pole</v>
          </cell>
          <cell r="C393" t="str">
            <v>Electric Lines</v>
          </cell>
          <cell r="D393" t="str">
            <v>Aerial</v>
          </cell>
          <cell r="E393" t="str">
            <v>1 x 0.4 kV</v>
          </cell>
          <cell r="F393" t="str">
            <v>3 phase(s)</v>
          </cell>
          <cell r="G393" t="str">
            <v>wire:AL, 95 mm2</v>
          </cell>
          <cell r="H393" t="str">
            <v>Concrete Pole</v>
          </cell>
          <cell r="I393">
            <v>15525</v>
          </cell>
          <cell r="J393">
            <v>30</v>
          </cell>
          <cell r="K393">
            <v>0.95</v>
          </cell>
          <cell r="L393">
            <v>7</v>
          </cell>
          <cell r="M393">
            <v>0.04</v>
          </cell>
          <cell r="N393">
            <v>5</v>
          </cell>
          <cell r="O393">
            <v>23000</v>
          </cell>
          <cell r="P393">
            <v>0.1</v>
          </cell>
          <cell r="Q393">
            <v>0.25</v>
          </cell>
        </row>
        <row r="394">
          <cell r="B394" t="str">
            <v>Electric LinesAerial1 x 0.4 kV3 phase(s)wire:AL, 95 mm2Metal Pole</v>
          </cell>
          <cell r="C394" t="str">
            <v>Electric Lines</v>
          </cell>
          <cell r="D394" t="str">
            <v>Aerial</v>
          </cell>
          <cell r="E394" t="str">
            <v>1 x 0.4 kV</v>
          </cell>
          <cell r="F394" t="str">
            <v>3 phase(s)</v>
          </cell>
          <cell r="G394" t="str">
            <v>wire:AL, 95 mm2</v>
          </cell>
          <cell r="H394" t="str">
            <v>Metal Pole</v>
          </cell>
          <cell r="I394">
            <v>20925</v>
          </cell>
          <cell r="J394">
            <v>30</v>
          </cell>
          <cell r="K394">
            <v>0.95</v>
          </cell>
          <cell r="L394">
            <v>7</v>
          </cell>
          <cell r="M394">
            <v>0.04</v>
          </cell>
          <cell r="N394">
            <v>5</v>
          </cell>
          <cell r="O394">
            <v>31000</v>
          </cell>
          <cell r="P394">
            <v>0.1</v>
          </cell>
          <cell r="Q394">
            <v>0.25</v>
          </cell>
        </row>
        <row r="395">
          <cell r="B395" t="str">
            <v>Electric LinesAerial1 x 0.4 kV3 phase(s)wire:AL, 95 mm2Wood Pole</v>
          </cell>
          <cell r="C395" t="str">
            <v>Electric Lines</v>
          </cell>
          <cell r="D395" t="str">
            <v>Aerial</v>
          </cell>
          <cell r="E395" t="str">
            <v>1 x 0.4 kV</v>
          </cell>
          <cell r="F395" t="str">
            <v>3 phase(s)</v>
          </cell>
          <cell r="G395" t="str">
            <v>wire:AL, 95 mm2</v>
          </cell>
          <cell r="H395" t="str">
            <v>Wood Pole</v>
          </cell>
          <cell r="I395">
            <v>13500</v>
          </cell>
          <cell r="J395">
            <v>25</v>
          </cell>
          <cell r="K395">
            <v>0.95</v>
          </cell>
          <cell r="L395">
            <v>5</v>
          </cell>
          <cell r="M395">
            <v>0.04</v>
          </cell>
          <cell r="N395">
            <v>5</v>
          </cell>
          <cell r="O395">
            <v>20000</v>
          </cell>
          <cell r="P395">
            <v>0.1</v>
          </cell>
          <cell r="Q395">
            <v>0.25</v>
          </cell>
        </row>
        <row r="396">
          <cell r="B396" t="str">
            <v>Electric LinesAerial1 x 0.4 kV3 phase(s)wire:AL, 95 mm2Console</v>
          </cell>
          <cell r="C396" t="str">
            <v>Electric Lines</v>
          </cell>
          <cell r="D396" t="str">
            <v>Aerial</v>
          </cell>
          <cell r="E396" t="str">
            <v>1 x 0.4 kV</v>
          </cell>
          <cell r="F396" t="str">
            <v>3 phase(s)</v>
          </cell>
          <cell r="G396" t="str">
            <v>wire:AL, 95 mm2</v>
          </cell>
          <cell r="H396" t="str">
            <v>Console</v>
          </cell>
          <cell r="I396">
            <v>10125</v>
          </cell>
          <cell r="J396">
            <v>25</v>
          </cell>
          <cell r="K396">
            <v>0.95</v>
          </cell>
          <cell r="L396">
            <v>5</v>
          </cell>
          <cell r="M396">
            <v>0.04</v>
          </cell>
          <cell r="N396">
            <v>5</v>
          </cell>
          <cell r="O396">
            <v>15000</v>
          </cell>
          <cell r="P396">
            <v>0.1</v>
          </cell>
          <cell r="Q396">
            <v>0.25</v>
          </cell>
        </row>
        <row r="397">
          <cell r="B397" t="str">
            <v>Electric LinesAerial1 x 0.4 kV3 phase(s)wire:AL, 95 mm2Only the wire</v>
          </cell>
          <cell r="C397" t="str">
            <v>Electric Lines</v>
          </cell>
          <cell r="D397" t="str">
            <v>Aerial</v>
          </cell>
          <cell r="E397" t="str">
            <v>1 x 0.4 kV</v>
          </cell>
          <cell r="F397" t="str">
            <v>3 phase(s)</v>
          </cell>
          <cell r="G397" t="str">
            <v>wire:AL, 95 mm2</v>
          </cell>
          <cell r="H397" t="str">
            <v>Only the wire</v>
          </cell>
          <cell r="I397">
            <v>4725</v>
          </cell>
          <cell r="J397">
            <v>25</v>
          </cell>
          <cell r="K397">
            <v>0.95</v>
          </cell>
          <cell r="L397">
            <v>5</v>
          </cell>
          <cell r="M397">
            <v>0.04</v>
          </cell>
          <cell r="N397">
            <v>5</v>
          </cell>
          <cell r="O397">
            <v>7000</v>
          </cell>
          <cell r="P397">
            <v>0.1</v>
          </cell>
          <cell r="Q397">
            <v>0.25</v>
          </cell>
        </row>
        <row r="398">
          <cell r="B398" t="str">
            <v>Electric LinesAerial1 x 0.4 kV3 phase(s)wire:AL+(OL-AL), 50 mm2Concrete Pole</v>
          </cell>
          <cell r="C398" t="str">
            <v>Electric Lines</v>
          </cell>
          <cell r="D398" t="str">
            <v>Aerial</v>
          </cell>
          <cell r="E398" t="str">
            <v>1 x 0.4 kV</v>
          </cell>
          <cell r="F398" t="str">
            <v>3 phase(s)</v>
          </cell>
          <cell r="G398" t="str">
            <v>wire:AL+(OL-AL), 50 mm2</v>
          </cell>
          <cell r="H398" t="str">
            <v>Concrete Pole</v>
          </cell>
          <cell r="I398">
            <v>13837.5</v>
          </cell>
          <cell r="J398">
            <v>30</v>
          </cell>
          <cell r="K398">
            <v>0.95</v>
          </cell>
          <cell r="L398">
            <v>7</v>
          </cell>
          <cell r="M398">
            <v>0.04</v>
          </cell>
          <cell r="N398">
            <v>5</v>
          </cell>
          <cell r="O398">
            <v>20500</v>
          </cell>
          <cell r="P398">
            <v>0.1</v>
          </cell>
          <cell r="Q398">
            <v>0.25</v>
          </cell>
        </row>
        <row r="399">
          <cell r="B399" t="str">
            <v>Electric LinesAerial1 x 0.4 kV3 phase(s)wire:AL+(OL-AL), 50 mm2Metal Pole</v>
          </cell>
          <cell r="C399" t="str">
            <v>Electric Lines</v>
          </cell>
          <cell r="D399" t="str">
            <v>Aerial</v>
          </cell>
          <cell r="E399" t="str">
            <v>1 x 0.4 kV</v>
          </cell>
          <cell r="F399" t="str">
            <v>3 phase(s)</v>
          </cell>
          <cell r="G399" t="str">
            <v>wire:AL+(OL-AL), 50 mm2</v>
          </cell>
          <cell r="H399" t="str">
            <v>Metal Pole</v>
          </cell>
          <cell r="I399">
            <v>18697.5</v>
          </cell>
          <cell r="J399">
            <v>30</v>
          </cell>
          <cell r="K399">
            <v>0.95</v>
          </cell>
          <cell r="L399">
            <v>7</v>
          </cell>
          <cell r="M399">
            <v>0.04</v>
          </cell>
          <cell r="N399">
            <v>5</v>
          </cell>
          <cell r="O399">
            <v>27700</v>
          </cell>
          <cell r="P399">
            <v>0.1</v>
          </cell>
          <cell r="Q399">
            <v>0.25</v>
          </cell>
        </row>
        <row r="400">
          <cell r="B400" t="str">
            <v>Electric LinesAerial1 x 0.4 kV3 phase(s)wire:AL+(OL-AL), 50 mm2Wood Pole</v>
          </cell>
          <cell r="C400" t="str">
            <v>Electric Lines</v>
          </cell>
          <cell r="D400" t="str">
            <v>Aerial</v>
          </cell>
          <cell r="E400" t="str">
            <v>1 x 0.4 kV</v>
          </cell>
          <cell r="F400" t="str">
            <v>3 phase(s)</v>
          </cell>
          <cell r="G400" t="str">
            <v>wire:AL+(OL-AL), 50 mm2</v>
          </cell>
          <cell r="H400" t="str">
            <v>Wood Pole</v>
          </cell>
          <cell r="I400">
            <v>12082.5</v>
          </cell>
          <cell r="J400">
            <v>25</v>
          </cell>
          <cell r="K400">
            <v>0.95</v>
          </cell>
          <cell r="L400">
            <v>5</v>
          </cell>
          <cell r="M400">
            <v>0.04</v>
          </cell>
          <cell r="N400">
            <v>5</v>
          </cell>
          <cell r="O400">
            <v>17900</v>
          </cell>
          <cell r="P400">
            <v>0.1</v>
          </cell>
          <cell r="Q400">
            <v>0.25</v>
          </cell>
        </row>
        <row r="401">
          <cell r="B401" t="str">
            <v>Electric LinesAerial1 x 0.4 kV3 phase(s)wire:AL+(OL-AL), 50 mm2Console</v>
          </cell>
          <cell r="C401" t="str">
            <v>Electric Lines</v>
          </cell>
          <cell r="D401" t="str">
            <v>Aerial</v>
          </cell>
          <cell r="E401" t="str">
            <v>1 x 0.4 kV</v>
          </cell>
          <cell r="F401" t="str">
            <v>3 phase(s)</v>
          </cell>
          <cell r="G401" t="str">
            <v>wire:AL+(OL-AL), 50 mm2</v>
          </cell>
          <cell r="H401" t="str">
            <v>Console</v>
          </cell>
          <cell r="I401">
            <v>9045</v>
          </cell>
          <cell r="J401">
            <v>25</v>
          </cell>
          <cell r="K401">
            <v>0.95</v>
          </cell>
          <cell r="L401">
            <v>5</v>
          </cell>
          <cell r="M401">
            <v>0.04</v>
          </cell>
          <cell r="N401">
            <v>5</v>
          </cell>
          <cell r="O401">
            <v>13400</v>
          </cell>
          <cell r="P401">
            <v>0.1</v>
          </cell>
          <cell r="Q401">
            <v>0.25</v>
          </cell>
        </row>
        <row r="402">
          <cell r="B402" t="str">
            <v>Electric LinesAerial1 x 0.4 kV3 phase(s)wire:AL+(OL-AL), 50 mm2Only the wire</v>
          </cell>
          <cell r="C402" t="str">
            <v>Electric Lines</v>
          </cell>
          <cell r="D402" t="str">
            <v>Aerial</v>
          </cell>
          <cell r="E402" t="str">
            <v>1 x 0.4 kV</v>
          </cell>
          <cell r="F402" t="str">
            <v>3 phase(s)</v>
          </cell>
          <cell r="G402" t="str">
            <v>wire:AL+(OL-AL), 50 mm2</v>
          </cell>
          <cell r="H402" t="str">
            <v>Only the wire</v>
          </cell>
          <cell r="I402">
            <v>4185</v>
          </cell>
          <cell r="J402">
            <v>25</v>
          </cell>
          <cell r="K402">
            <v>0.95</v>
          </cell>
          <cell r="L402">
            <v>5</v>
          </cell>
          <cell r="M402">
            <v>0.04</v>
          </cell>
          <cell r="N402">
            <v>5</v>
          </cell>
          <cell r="O402">
            <v>6200</v>
          </cell>
          <cell r="P402">
            <v>0.1</v>
          </cell>
          <cell r="Q402">
            <v>0.25</v>
          </cell>
        </row>
        <row r="403">
          <cell r="B403" t="str">
            <v>Electric LinesAerial1 x 0.7 kV3 phase(s)wire:AL, 70 mm2Concrete Pole</v>
          </cell>
          <cell r="C403" t="str">
            <v>Electric Lines</v>
          </cell>
          <cell r="D403" t="str">
            <v>Aerial</v>
          </cell>
          <cell r="E403" t="str">
            <v>1 x 0.7 kV</v>
          </cell>
          <cell r="F403" t="str">
            <v>3 phase(s)</v>
          </cell>
          <cell r="G403" t="str">
            <v>wire:AL, 70 mm2</v>
          </cell>
          <cell r="H403" t="str">
            <v>Concrete Pole</v>
          </cell>
          <cell r="I403">
            <v>14647.5</v>
          </cell>
          <cell r="J403">
            <v>30</v>
          </cell>
          <cell r="K403">
            <v>0.95</v>
          </cell>
          <cell r="L403">
            <v>7</v>
          </cell>
          <cell r="M403">
            <v>0.04</v>
          </cell>
          <cell r="N403">
            <v>5</v>
          </cell>
          <cell r="O403">
            <v>21700</v>
          </cell>
          <cell r="P403">
            <v>0.1</v>
          </cell>
          <cell r="Q403">
            <v>0.25</v>
          </cell>
        </row>
        <row r="404">
          <cell r="B404" t="str">
            <v>Electric LinesAerial1 x 0.7 kV3 phase(s)wire:AL, 70 mm2Metal Pole</v>
          </cell>
          <cell r="C404" t="str">
            <v>Electric Lines</v>
          </cell>
          <cell r="D404" t="str">
            <v>Aerial</v>
          </cell>
          <cell r="E404" t="str">
            <v>1 x 0.7 kV</v>
          </cell>
          <cell r="F404" t="str">
            <v>3 phase(s)</v>
          </cell>
          <cell r="G404" t="str">
            <v>wire:AL, 70 mm2</v>
          </cell>
          <cell r="H404" t="str">
            <v>Metal Pole</v>
          </cell>
          <cell r="I404">
            <v>19777.5</v>
          </cell>
          <cell r="J404">
            <v>30</v>
          </cell>
          <cell r="K404">
            <v>0.95</v>
          </cell>
          <cell r="L404">
            <v>7</v>
          </cell>
          <cell r="M404">
            <v>0.04</v>
          </cell>
          <cell r="N404">
            <v>5</v>
          </cell>
          <cell r="O404">
            <v>29300</v>
          </cell>
          <cell r="P404">
            <v>0.1</v>
          </cell>
          <cell r="Q404">
            <v>0.25</v>
          </cell>
        </row>
        <row r="405">
          <cell r="B405" t="str">
            <v>Electric LinesAerial1 x 0.7 kV3 phase(s)wire:AL, 70 mm2Wood Pole</v>
          </cell>
          <cell r="C405" t="str">
            <v>Electric Lines</v>
          </cell>
          <cell r="D405" t="str">
            <v>Aerial</v>
          </cell>
          <cell r="E405" t="str">
            <v>1 x 0.7 kV</v>
          </cell>
          <cell r="F405" t="str">
            <v>3 phase(s)</v>
          </cell>
          <cell r="G405" t="str">
            <v>wire:AL, 70 mm2</v>
          </cell>
          <cell r="H405" t="str">
            <v>Wood Pole</v>
          </cell>
          <cell r="I405">
            <v>12757.5</v>
          </cell>
          <cell r="J405">
            <v>25</v>
          </cell>
          <cell r="K405">
            <v>0.95</v>
          </cell>
          <cell r="L405">
            <v>5</v>
          </cell>
          <cell r="M405">
            <v>0.04</v>
          </cell>
          <cell r="N405">
            <v>5</v>
          </cell>
          <cell r="O405">
            <v>18900</v>
          </cell>
          <cell r="P405">
            <v>0.1</v>
          </cell>
          <cell r="Q405">
            <v>0.25</v>
          </cell>
        </row>
        <row r="406">
          <cell r="B406" t="str">
            <v>Electric LinesAerial1 x 0.7 kV3 phase(s)wire:AL, 70 mm2Console</v>
          </cell>
          <cell r="C406" t="str">
            <v>Electric Lines</v>
          </cell>
          <cell r="D406" t="str">
            <v>Aerial</v>
          </cell>
          <cell r="E406" t="str">
            <v>1 x 0.7 kV</v>
          </cell>
          <cell r="F406" t="str">
            <v>3 phase(s)</v>
          </cell>
          <cell r="G406" t="str">
            <v>wire:AL, 70 mm2</v>
          </cell>
          <cell r="H406" t="str">
            <v>Console</v>
          </cell>
          <cell r="I406">
            <v>9585</v>
          </cell>
          <cell r="J406">
            <v>25</v>
          </cell>
          <cell r="K406">
            <v>0.95</v>
          </cell>
          <cell r="L406">
            <v>5</v>
          </cell>
          <cell r="M406">
            <v>0.04</v>
          </cell>
          <cell r="N406">
            <v>5</v>
          </cell>
          <cell r="O406">
            <v>14200</v>
          </cell>
          <cell r="P406">
            <v>0.1</v>
          </cell>
          <cell r="Q406">
            <v>0.25</v>
          </cell>
        </row>
        <row r="407">
          <cell r="B407" t="str">
            <v>Electric LinesAerial1 x 0.7 kV3 phase(s)wire:AL, 70 mm2Only the wire</v>
          </cell>
          <cell r="C407" t="str">
            <v>Electric Lines</v>
          </cell>
          <cell r="D407" t="str">
            <v>Aerial</v>
          </cell>
          <cell r="E407" t="str">
            <v>1 x 0.7 kV</v>
          </cell>
          <cell r="F407" t="str">
            <v>3 phase(s)</v>
          </cell>
          <cell r="G407" t="str">
            <v>wire:AL, 70 mm2</v>
          </cell>
          <cell r="H407" t="str">
            <v>Only the wire</v>
          </cell>
          <cell r="I407">
            <v>4455</v>
          </cell>
          <cell r="J407">
            <v>25</v>
          </cell>
          <cell r="K407">
            <v>0.95</v>
          </cell>
          <cell r="L407">
            <v>5</v>
          </cell>
          <cell r="M407">
            <v>0.04</v>
          </cell>
          <cell r="N407">
            <v>5</v>
          </cell>
          <cell r="O407">
            <v>6600</v>
          </cell>
          <cell r="P407">
            <v>0.1</v>
          </cell>
          <cell r="Q407">
            <v>0.25</v>
          </cell>
        </row>
        <row r="408">
          <cell r="B408" t="str">
            <v>Electric LinesAerial1 x 1 kV3 phase(s)wire:AL, 50 mm2Concrete Pole</v>
          </cell>
          <cell r="C408" t="str">
            <v>Electric Lines</v>
          </cell>
          <cell r="D408" t="str">
            <v>Aerial</v>
          </cell>
          <cell r="E408" t="str">
            <v>1 x 1 kV</v>
          </cell>
          <cell r="F408" t="str">
            <v>3 phase(s)</v>
          </cell>
          <cell r="G408" t="str">
            <v>wire:AL, 50 mm2</v>
          </cell>
          <cell r="H408" t="str">
            <v>Concrete Pole</v>
          </cell>
          <cell r="I408">
            <v>12352.5</v>
          </cell>
          <cell r="J408">
            <v>30</v>
          </cell>
          <cell r="K408">
            <v>0.95</v>
          </cell>
          <cell r="L408">
            <v>7</v>
          </cell>
          <cell r="M408">
            <v>0.04</v>
          </cell>
          <cell r="N408">
            <v>5</v>
          </cell>
          <cell r="O408">
            <v>18300</v>
          </cell>
          <cell r="P408">
            <v>0.1</v>
          </cell>
          <cell r="Q408">
            <v>0.25</v>
          </cell>
        </row>
        <row r="409">
          <cell r="B409" t="str">
            <v>Electric LinesAerial1 x 1 kV3 phase(s)wire:AL, 50 mm2Metal Pole</v>
          </cell>
          <cell r="C409" t="str">
            <v>Electric Lines</v>
          </cell>
          <cell r="D409" t="str">
            <v>Aerial</v>
          </cell>
          <cell r="E409" t="str">
            <v>1 x 1 kV</v>
          </cell>
          <cell r="F409" t="str">
            <v>3 phase(s)</v>
          </cell>
          <cell r="G409" t="str">
            <v>wire:AL, 50 mm2</v>
          </cell>
          <cell r="H409" t="str">
            <v>Metal Pole</v>
          </cell>
          <cell r="I409">
            <v>16740</v>
          </cell>
          <cell r="J409">
            <v>30</v>
          </cell>
          <cell r="K409">
            <v>0.95</v>
          </cell>
          <cell r="L409">
            <v>7</v>
          </cell>
          <cell r="M409">
            <v>0.04</v>
          </cell>
          <cell r="N409">
            <v>5</v>
          </cell>
          <cell r="O409">
            <v>24800</v>
          </cell>
          <cell r="P409">
            <v>0.1</v>
          </cell>
          <cell r="Q409">
            <v>0.25</v>
          </cell>
        </row>
        <row r="410">
          <cell r="B410" t="str">
            <v>Electric LinesAerial1 x 1 kV3 phase(s)wire:AL, 50 mm2Wood Pole</v>
          </cell>
          <cell r="C410" t="str">
            <v>Electric Lines</v>
          </cell>
          <cell r="D410" t="str">
            <v>Aerial</v>
          </cell>
          <cell r="E410" t="str">
            <v>1 x 1 kV</v>
          </cell>
          <cell r="F410" t="str">
            <v>3 phase(s)</v>
          </cell>
          <cell r="G410" t="str">
            <v>wire:AL, 50 mm2</v>
          </cell>
          <cell r="H410" t="str">
            <v>Wood Pole</v>
          </cell>
          <cell r="I410">
            <v>10800</v>
          </cell>
          <cell r="J410">
            <v>25</v>
          </cell>
          <cell r="K410">
            <v>0.95</v>
          </cell>
          <cell r="L410">
            <v>5</v>
          </cell>
          <cell r="M410">
            <v>0.04</v>
          </cell>
          <cell r="N410">
            <v>5</v>
          </cell>
          <cell r="O410">
            <v>16000</v>
          </cell>
          <cell r="P410">
            <v>0.1</v>
          </cell>
          <cell r="Q410">
            <v>0.25</v>
          </cell>
        </row>
        <row r="411">
          <cell r="B411" t="str">
            <v>Electric LinesAerial1 x 1 kV3 phase(s)wire:AL, 50 mm2Console</v>
          </cell>
          <cell r="C411" t="str">
            <v>Electric Lines</v>
          </cell>
          <cell r="D411" t="str">
            <v>Aerial</v>
          </cell>
          <cell r="E411" t="str">
            <v>1 x 1 kV</v>
          </cell>
          <cell r="F411" t="str">
            <v>3 phase(s)</v>
          </cell>
          <cell r="G411" t="str">
            <v>wire:AL, 50 mm2</v>
          </cell>
          <cell r="H411" t="str">
            <v>Console</v>
          </cell>
          <cell r="I411">
            <v>8100</v>
          </cell>
          <cell r="J411">
            <v>25</v>
          </cell>
          <cell r="K411">
            <v>0.95</v>
          </cell>
          <cell r="L411">
            <v>5</v>
          </cell>
          <cell r="M411">
            <v>0.04</v>
          </cell>
          <cell r="N411">
            <v>5</v>
          </cell>
          <cell r="O411">
            <v>12000</v>
          </cell>
          <cell r="P411">
            <v>0.1</v>
          </cell>
          <cell r="Q411">
            <v>0.25</v>
          </cell>
        </row>
        <row r="412">
          <cell r="B412" t="str">
            <v>Electric LinesAerial1 x 1 kV3 phase(s)wire:AL, 50 mm2Only the wire</v>
          </cell>
          <cell r="C412" t="str">
            <v>Electric Lines</v>
          </cell>
          <cell r="D412" t="str">
            <v>Aerial</v>
          </cell>
          <cell r="E412" t="str">
            <v>1 x 1 kV</v>
          </cell>
          <cell r="F412" t="str">
            <v>3 phase(s)</v>
          </cell>
          <cell r="G412" t="str">
            <v>wire:AL, 50 mm2</v>
          </cell>
          <cell r="H412" t="str">
            <v>Only the wire</v>
          </cell>
          <cell r="I412">
            <v>3780</v>
          </cell>
          <cell r="J412">
            <v>25</v>
          </cell>
          <cell r="K412">
            <v>0.95</v>
          </cell>
          <cell r="L412">
            <v>5</v>
          </cell>
          <cell r="M412">
            <v>0.04</v>
          </cell>
          <cell r="N412">
            <v>5</v>
          </cell>
          <cell r="O412">
            <v>5600</v>
          </cell>
          <cell r="P412">
            <v>0.1</v>
          </cell>
          <cell r="Q412">
            <v>0.25</v>
          </cell>
        </row>
        <row r="413">
          <cell r="B413" t="str">
            <v>Electric LinesAerial1 x 1 kV3 phase(s)wire:AL, 70 mm2Concrete Pole</v>
          </cell>
          <cell r="C413" t="str">
            <v>Electric Lines</v>
          </cell>
          <cell r="D413" t="str">
            <v>Aerial</v>
          </cell>
          <cell r="E413" t="str">
            <v>1 x 1 kV</v>
          </cell>
          <cell r="F413" t="str">
            <v>3 phase(s)</v>
          </cell>
          <cell r="G413" t="str">
            <v>wire:AL, 70 mm2</v>
          </cell>
          <cell r="H413" t="str">
            <v>Concrete Pole</v>
          </cell>
          <cell r="I413">
            <v>14647.5</v>
          </cell>
          <cell r="J413">
            <v>30</v>
          </cell>
          <cell r="K413">
            <v>0.95</v>
          </cell>
          <cell r="L413">
            <v>7</v>
          </cell>
          <cell r="M413">
            <v>0.04</v>
          </cell>
          <cell r="N413">
            <v>5</v>
          </cell>
          <cell r="O413">
            <v>21700</v>
          </cell>
          <cell r="P413">
            <v>0.1</v>
          </cell>
          <cell r="Q413">
            <v>0.25</v>
          </cell>
        </row>
        <row r="414">
          <cell r="B414" t="str">
            <v>Electric LinesAerial1 x 1 kV3 phase(s)wire:AL, 70 mm2Metal Pole</v>
          </cell>
          <cell r="C414" t="str">
            <v>Electric Lines</v>
          </cell>
          <cell r="D414" t="str">
            <v>Aerial</v>
          </cell>
          <cell r="E414" t="str">
            <v>1 x 1 kV</v>
          </cell>
          <cell r="F414" t="str">
            <v>3 phase(s)</v>
          </cell>
          <cell r="G414" t="str">
            <v>wire:AL, 70 mm2</v>
          </cell>
          <cell r="H414" t="str">
            <v>Metal Pole</v>
          </cell>
          <cell r="I414">
            <v>19777.5</v>
          </cell>
          <cell r="J414">
            <v>30</v>
          </cell>
          <cell r="K414">
            <v>0.95</v>
          </cell>
          <cell r="L414">
            <v>7</v>
          </cell>
          <cell r="M414">
            <v>0.04</v>
          </cell>
          <cell r="N414">
            <v>5</v>
          </cell>
          <cell r="O414">
            <v>29300</v>
          </cell>
          <cell r="P414">
            <v>0.1</v>
          </cell>
          <cell r="Q414">
            <v>0.25</v>
          </cell>
        </row>
        <row r="415">
          <cell r="B415" t="str">
            <v>Electric LinesAerial1 x 1 kV3 phase(s)wire:AL, 70 mm2Wood Pole</v>
          </cell>
          <cell r="C415" t="str">
            <v>Electric Lines</v>
          </cell>
          <cell r="D415" t="str">
            <v>Aerial</v>
          </cell>
          <cell r="E415" t="str">
            <v>1 x 1 kV</v>
          </cell>
          <cell r="F415" t="str">
            <v>3 phase(s)</v>
          </cell>
          <cell r="G415" t="str">
            <v>wire:AL, 70 mm2</v>
          </cell>
          <cell r="H415" t="str">
            <v>Wood Pole</v>
          </cell>
          <cell r="I415">
            <v>12757.5</v>
          </cell>
          <cell r="J415">
            <v>25</v>
          </cell>
          <cell r="K415">
            <v>0.95</v>
          </cell>
          <cell r="L415">
            <v>5</v>
          </cell>
          <cell r="M415">
            <v>0.04</v>
          </cell>
          <cell r="N415">
            <v>5</v>
          </cell>
          <cell r="O415">
            <v>18900</v>
          </cell>
          <cell r="P415">
            <v>0.1</v>
          </cell>
          <cell r="Q415">
            <v>0.25</v>
          </cell>
        </row>
        <row r="416">
          <cell r="B416" t="str">
            <v>Electric LinesAerial1 x 1 kV3 phase(s)wire:AL, 70 mm2Console</v>
          </cell>
          <cell r="C416" t="str">
            <v>Electric Lines</v>
          </cell>
          <cell r="D416" t="str">
            <v>Aerial</v>
          </cell>
          <cell r="E416" t="str">
            <v>1 x 1 kV</v>
          </cell>
          <cell r="F416" t="str">
            <v>3 phase(s)</v>
          </cell>
          <cell r="G416" t="str">
            <v>wire:AL, 70 mm2</v>
          </cell>
          <cell r="H416" t="str">
            <v>Console</v>
          </cell>
          <cell r="I416">
            <v>9585</v>
          </cell>
          <cell r="J416">
            <v>25</v>
          </cell>
          <cell r="K416">
            <v>0.95</v>
          </cell>
          <cell r="L416">
            <v>5</v>
          </cell>
          <cell r="M416">
            <v>0.04</v>
          </cell>
          <cell r="N416">
            <v>5</v>
          </cell>
          <cell r="O416">
            <v>14200</v>
          </cell>
          <cell r="P416">
            <v>0.1</v>
          </cell>
          <cell r="Q416">
            <v>0.25</v>
          </cell>
        </row>
        <row r="417">
          <cell r="B417" t="str">
            <v>Electric LinesAerial1 x 1 kV3 phase(s)wire:AL, 70 mm2Only the wire</v>
          </cell>
          <cell r="C417" t="str">
            <v>Electric Lines</v>
          </cell>
          <cell r="D417" t="str">
            <v>Aerial</v>
          </cell>
          <cell r="E417" t="str">
            <v>1 x 1 kV</v>
          </cell>
          <cell r="F417" t="str">
            <v>3 phase(s)</v>
          </cell>
          <cell r="G417" t="str">
            <v>wire:AL, 70 mm2</v>
          </cell>
          <cell r="H417" t="str">
            <v>Only the wire</v>
          </cell>
          <cell r="I417">
            <v>4455</v>
          </cell>
          <cell r="J417">
            <v>25</v>
          </cell>
          <cell r="K417">
            <v>0.95</v>
          </cell>
          <cell r="L417">
            <v>5</v>
          </cell>
          <cell r="M417">
            <v>0.04</v>
          </cell>
          <cell r="N417">
            <v>5</v>
          </cell>
          <cell r="O417">
            <v>6600</v>
          </cell>
          <cell r="P417">
            <v>0.1</v>
          </cell>
          <cell r="Q417">
            <v>0.25</v>
          </cell>
        </row>
        <row r="418">
          <cell r="B418" t="str">
            <v>Electric LinesAerial2 x 0.4 kV1 phase(s)wire:AL, 50 mm2Concrete Pole</v>
          </cell>
          <cell r="C418" t="str">
            <v>Electric Lines</v>
          </cell>
          <cell r="D418" t="str">
            <v>Aerial</v>
          </cell>
          <cell r="E418" t="str">
            <v>2 x 0.4 kV</v>
          </cell>
          <cell r="F418" t="str">
            <v>1 phase(s)</v>
          </cell>
          <cell r="G418" t="str">
            <v>wire:AL, 50 mm2</v>
          </cell>
          <cell r="H418" t="str">
            <v>Concrete Pole</v>
          </cell>
          <cell r="I418">
            <v>16132.5</v>
          </cell>
          <cell r="J418">
            <v>30</v>
          </cell>
          <cell r="K418">
            <v>0.95</v>
          </cell>
          <cell r="L418">
            <v>7</v>
          </cell>
          <cell r="M418">
            <v>0.04</v>
          </cell>
          <cell r="N418">
            <v>5</v>
          </cell>
          <cell r="O418">
            <v>23900</v>
          </cell>
          <cell r="P418">
            <v>0.1</v>
          </cell>
          <cell r="Q418">
            <v>0.25</v>
          </cell>
        </row>
        <row r="419">
          <cell r="B419" t="str">
            <v>Electric LinesAerial2 x 0.4 kV1 phase(s)wire:AL, 50 mm2Metal Pole</v>
          </cell>
          <cell r="C419" t="str">
            <v>Electric Lines</v>
          </cell>
          <cell r="D419" t="str">
            <v>Aerial</v>
          </cell>
          <cell r="E419" t="str">
            <v>2 x 0.4 kV</v>
          </cell>
          <cell r="F419" t="str">
            <v>1 phase(s)</v>
          </cell>
          <cell r="G419" t="str">
            <v>wire:AL, 50 mm2</v>
          </cell>
          <cell r="H419" t="str">
            <v>Metal Pole</v>
          </cell>
          <cell r="I419">
            <v>20520</v>
          </cell>
          <cell r="J419">
            <v>30</v>
          </cell>
          <cell r="K419">
            <v>0.95</v>
          </cell>
          <cell r="L419">
            <v>7</v>
          </cell>
          <cell r="M419">
            <v>0.04</v>
          </cell>
          <cell r="N419">
            <v>5</v>
          </cell>
          <cell r="O419">
            <v>30400</v>
          </cell>
          <cell r="P419">
            <v>0.1</v>
          </cell>
          <cell r="Q419">
            <v>0.25</v>
          </cell>
        </row>
        <row r="420">
          <cell r="B420" t="str">
            <v>Electric LinesAerial2 x 0.4 kV1 phase(s)wire:AL, 50 mm2Wood Pole</v>
          </cell>
          <cell r="C420" t="str">
            <v>Electric Lines</v>
          </cell>
          <cell r="D420" t="str">
            <v>Aerial</v>
          </cell>
          <cell r="E420" t="str">
            <v>2 x 0.4 kV</v>
          </cell>
          <cell r="F420" t="str">
            <v>1 phase(s)</v>
          </cell>
          <cell r="G420" t="str">
            <v>wire:AL, 50 mm2</v>
          </cell>
          <cell r="H420" t="str">
            <v>Wood Pole</v>
          </cell>
          <cell r="I420">
            <v>14580</v>
          </cell>
          <cell r="J420">
            <v>25</v>
          </cell>
          <cell r="K420">
            <v>0.95</v>
          </cell>
          <cell r="L420">
            <v>5</v>
          </cell>
          <cell r="M420">
            <v>0.04</v>
          </cell>
          <cell r="N420">
            <v>5</v>
          </cell>
          <cell r="O420">
            <v>21600</v>
          </cell>
          <cell r="P420">
            <v>0.1</v>
          </cell>
          <cell r="Q420">
            <v>0.25</v>
          </cell>
        </row>
        <row r="421">
          <cell r="B421" t="str">
            <v>Electric LinesAerial2 x 0.4 kV1 phase(s)wire:AL, 50 mm2Console</v>
          </cell>
          <cell r="C421" t="str">
            <v>Electric Lines</v>
          </cell>
          <cell r="D421" t="str">
            <v>Aerial</v>
          </cell>
          <cell r="E421" t="str">
            <v>2 x 0.4 kV</v>
          </cell>
          <cell r="F421" t="str">
            <v>1 phase(s)</v>
          </cell>
          <cell r="G421" t="str">
            <v>wire:AL, 50 mm2</v>
          </cell>
          <cell r="H421" t="str">
            <v>Console</v>
          </cell>
          <cell r="I421">
            <v>11880</v>
          </cell>
          <cell r="J421">
            <v>25</v>
          </cell>
          <cell r="K421">
            <v>0.95</v>
          </cell>
          <cell r="L421">
            <v>5</v>
          </cell>
          <cell r="M421">
            <v>0.04</v>
          </cell>
          <cell r="N421">
            <v>5</v>
          </cell>
          <cell r="O421">
            <v>17600</v>
          </cell>
          <cell r="P421">
            <v>0.1</v>
          </cell>
          <cell r="Q421">
            <v>0.25</v>
          </cell>
        </row>
        <row r="422">
          <cell r="B422" t="str">
            <v>Electric LinesAerial2 x 0.4 kV1 phase(s)wire:AL, 50 mm2Only the wire</v>
          </cell>
          <cell r="C422" t="str">
            <v>Electric Lines</v>
          </cell>
          <cell r="D422" t="str">
            <v>Aerial</v>
          </cell>
          <cell r="E422" t="str">
            <v>2 x 0.4 kV</v>
          </cell>
          <cell r="F422" t="str">
            <v>1 phase(s)</v>
          </cell>
          <cell r="G422" t="str">
            <v>wire:AL, 50 mm2</v>
          </cell>
          <cell r="H422" t="str">
            <v>Only the wire</v>
          </cell>
          <cell r="I422">
            <v>7560</v>
          </cell>
          <cell r="J422">
            <v>25</v>
          </cell>
          <cell r="K422">
            <v>0.95</v>
          </cell>
          <cell r="L422">
            <v>5</v>
          </cell>
          <cell r="M422">
            <v>0.04</v>
          </cell>
          <cell r="N422">
            <v>5</v>
          </cell>
          <cell r="O422">
            <v>11200</v>
          </cell>
          <cell r="P422">
            <v>0.1</v>
          </cell>
          <cell r="Q422">
            <v>0.25</v>
          </cell>
        </row>
        <row r="423">
          <cell r="B423" t="str">
            <v>Electric LinesAerial2 x 0.4 kV2 phase(s)wire:AL, 35 mm2Concrete Pole</v>
          </cell>
          <cell r="C423" t="str">
            <v>Electric Lines</v>
          </cell>
          <cell r="D423" t="str">
            <v>Aerial</v>
          </cell>
          <cell r="E423" t="str">
            <v>2 x 0.4 kV</v>
          </cell>
          <cell r="F423" t="str">
            <v>2 phase(s)</v>
          </cell>
          <cell r="G423" t="str">
            <v>wire:AL, 35 mm2</v>
          </cell>
          <cell r="H423" t="str">
            <v>Concrete Pole</v>
          </cell>
          <cell r="I423">
            <v>16132.5</v>
          </cell>
          <cell r="J423">
            <v>30</v>
          </cell>
          <cell r="K423">
            <v>0.95</v>
          </cell>
          <cell r="L423">
            <v>7</v>
          </cell>
          <cell r="M423">
            <v>0.04</v>
          </cell>
          <cell r="N423">
            <v>5</v>
          </cell>
          <cell r="O423">
            <v>23900</v>
          </cell>
          <cell r="P423">
            <v>0.1</v>
          </cell>
          <cell r="Q423">
            <v>0.25</v>
          </cell>
        </row>
        <row r="424">
          <cell r="B424" t="str">
            <v>Electric LinesAerial2 x 0.4 kV2 phase(s)wire:AL, 35 mm2Metal Pole</v>
          </cell>
          <cell r="C424" t="str">
            <v>Electric Lines</v>
          </cell>
          <cell r="D424" t="str">
            <v>Aerial</v>
          </cell>
          <cell r="E424" t="str">
            <v>2 x 0.4 kV</v>
          </cell>
          <cell r="F424" t="str">
            <v>2 phase(s)</v>
          </cell>
          <cell r="G424" t="str">
            <v>wire:AL, 35 mm2</v>
          </cell>
          <cell r="H424" t="str">
            <v>Metal Pole</v>
          </cell>
          <cell r="I424">
            <v>20520</v>
          </cell>
          <cell r="J424">
            <v>30</v>
          </cell>
          <cell r="K424">
            <v>0.95</v>
          </cell>
          <cell r="L424">
            <v>7</v>
          </cell>
          <cell r="M424">
            <v>0.04</v>
          </cell>
          <cell r="N424">
            <v>5</v>
          </cell>
          <cell r="O424">
            <v>30400</v>
          </cell>
          <cell r="P424">
            <v>0.1</v>
          </cell>
          <cell r="Q424">
            <v>0.25</v>
          </cell>
        </row>
        <row r="425">
          <cell r="B425" t="str">
            <v>Electric LinesAerial2 x 0.4 kV2 phase(s)wire:AL, 35 mm2Wood Pole</v>
          </cell>
          <cell r="C425" t="str">
            <v>Electric Lines</v>
          </cell>
          <cell r="D425" t="str">
            <v>Aerial</v>
          </cell>
          <cell r="E425" t="str">
            <v>2 x 0.4 kV</v>
          </cell>
          <cell r="F425" t="str">
            <v>2 phase(s)</v>
          </cell>
          <cell r="G425" t="str">
            <v>wire:AL, 35 mm2</v>
          </cell>
          <cell r="H425" t="str">
            <v>Wood Pole</v>
          </cell>
          <cell r="I425">
            <v>14580</v>
          </cell>
          <cell r="J425">
            <v>25</v>
          </cell>
          <cell r="K425">
            <v>0.95</v>
          </cell>
          <cell r="L425">
            <v>5</v>
          </cell>
          <cell r="M425">
            <v>0.04</v>
          </cell>
          <cell r="N425">
            <v>5</v>
          </cell>
          <cell r="O425">
            <v>21600</v>
          </cell>
          <cell r="P425">
            <v>0.1</v>
          </cell>
          <cell r="Q425">
            <v>0.25</v>
          </cell>
        </row>
        <row r="426">
          <cell r="B426" t="str">
            <v>Electric LinesAerial2 x 0.4 kV2 phase(s)wire:AL, 35 mm2Console</v>
          </cell>
          <cell r="C426" t="str">
            <v>Electric Lines</v>
          </cell>
          <cell r="D426" t="str">
            <v>Aerial</v>
          </cell>
          <cell r="E426" t="str">
            <v>2 x 0.4 kV</v>
          </cell>
          <cell r="F426" t="str">
            <v>2 phase(s)</v>
          </cell>
          <cell r="G426" t="str">
            <v>wire:AL, 35 mm2</v>
          </cell>
          <cell r="H426" t="str">
            <v>Console</v>
          </cell>
          <cell r="I426">
            <v>11880</v>
          </cell>
          <cell r="J426">
            <v>25</v>
          </cell>
          <cell r="K426">
            <v>0.95</v>
          </cell>
          <cell r="L426">
            <v>5</v>
          </cell>
          <cell r="M426">
            <v>0.04</v>
          </cell>
          <cell r="N426">
            <v>5</v>
          </cell>
          <cell r="O426">
            <v>17600</v>
          </cell>
          <cell r="P426">
            <v>0.1</v>
          </cell>
          <cell r="Q426">
            <v>0.25</v>
          </cell>
        </row>
        <row r="427">
          <cell r="B427" t="str">
            <v>Electric LinesAerial2 x 0.4 kV2 phase(s)wire:AL, 35 mm2Only the wire</v>
          </cell>
          <cell r="C427" t="str">
            <v>Electric Lines</v>
          </cell>
          <cell r="D427" t="str">
            <v>Aerial</v>
          </cell>
          <cell r="E427" t="str">
            <v>2 x 0.4 kV</v>
          </cell>
          <cell r="F427" t="str">
            <v>2 phase(s)</v>
          </cell>
          <cell r="G427" t="str">
            <v>wire:AL, 35 mm2</v>
          </cell>
          <cell r="H427" t="str">
            <v>Only the wire</v>
          </cell>
          <cell r="I427">
            <v>7560</v>
          </cell>
          <cell r="J427">
            <v>25</v>
          </cell>
          <cell r="K427">
            <v>0.95</v>
          </cell>
          <cell r="L427">
            <v>5</v>
          </cell>
          <cell r="M427">
            <v>0.04</v>
          </cell>
          <cell r="N427">
            <v>5</v>
          </cell>
          <cell r="O427">
            <v>11200</v>
          </cell>
          <cell r="P427">
            <v>0.1</v>
          </cell>
          <cell r="Q427">
            <v>0.25</v>
          </cell>
        </row>
        <row r="428">
          <cell r="B428" t="str">
            <v>Electric LinesAerial2 x 0.4 kV2 phase(s)wire:AL, 50 mm2Concrete Pole</v>
          </cell>
          <cell r="C428" t="str">
            <v>Electric Lines</v>
          </cell>
          <cell r="D428" t="str">
            <v>Aerial</v>
          </cell>
          <cell r="E428" t="str">
            <v>2 x 0.4 kV</v>
          </cell>
          <cell r="F428" t="str">
            <v>2 phase(s)</v>
          </cell>
          <cell r="G428" t="str">
            <v>wire:AL, 50 mm2</v>
          </cell>
          <cell r="H428" t="str">
            <v>Concrete Pole</v>
          </cell>
          <cell r="I428">
            <v>16132.5</v>
          </cell>
          <cell r="J428">
            <v>30</v>
          </cell>
          <cell r="K428">
            <v>0.95</v>
          </cell>
          <cell r="L428">
            <v>7</v>
          </cell>
          <cell r="M428">
            <v>0.04</v>
          </cell>
          <cell r="N428">
            <v>5</v>
          </cell>
          <cell r="O428">
            <v>23900</v>
          </cell>
          <cell r="P428">
            <v>0.1</v>
          </cell>
          <cell r="Q428">
            <v>0.25</v>
          </cell>
        </row>
        <row r="429">
          <cell r="B429" t="str">
            <v>Electric LinesAerial2 x 0.4 kV2 phase(s)wire:AL, 50 mm2Metal Pole</v>
          </cell>
          <cell r="C429" t="str">
            <v>Electric Lines</v>
          </cell>
          <cell r="D429" t="str">
            <v>Aerial</v>
          </cell>
          <cell r="E429" t="str">
            <v>2 x 0.4 kV</v>
          </cell>
          <cell r="F429" t="str">
            <v>2 phase(s)</v>
          </cell>
          <cell r="G429" t="str">
            <v>wire:AL, 50 mm2</v>
          </cell>
          <cell r="H429" t="str">
            <v>Metal Pole</v>
          </cell>
          <cell r="I429">
            <v>20520</v>
          </cell>
          <cell r="J429">
            <v>30</v>
          </cell>
          <cell r="K429">
            <v>0.95</v>
          </cell>
          <cell r="L429">
            <v>7</v>
          </cell>
          <cell r="M429">
            <v>0.04</v>
          </cell>
          <cell r="N429">
            <v>5</v>
          </cell>
          <cell r="O429">
            <v>30400</v>
          </cell>
          <cell r="P429">
            <v>0.1</v>
          </cell>
          <cell r="Q429">
            <v>0.25</v>
          </cell>
        </row>
        <row r="430">
          <cell r="B430" t="str">
            <v>Electric LinesAerial2 x 0.4 kV2 phase(s)wire:AL, 50 mm2Wood Pole</v>
          </cell>
          <cell r="C430" t="str">
            <v>Electric Lines</v>
          </cell>
          <cell r="D430" t="str">
            <v>Aerial</v>
          </cell>
          <cell r="E430" t="str">
            <v>2 x 0.4 kV</v>
          </cell>
          <cell r="F430" t="str">
            <v>2 phase(s)</v>
          </cell>
          <cell r="G430" t="str">
            <v>wire:AL, 50 mm2</v>
          </cell>
          <cell r="H430" t="str">
            <v>Wood Pole</v>
          </cell>
          <cell r="I430">
            <v>14580</v>
          </cell>
          <cell r="J430">
            <v>25</v>
          </cell>
          <cell r="K430">
            <v>0.95</v>
          </cell>
          <cell r="L430">
            <v>5</v>
          </cell>
          <cell r="M430">
            <v>0.04</v>
          </cell>
          <cell r="N430">
            <v>5</v>
          </cell>
          <cell r="O430">
            <v>21600</v>
          </cell>
          <cell r="P430">
            <v>0.1</v>
          </cell>
          <cell r="Q430">
            <v>0.25</v>
          </cell>
        </row>
        <row r="431">
          <cell r="B431" t="str">
            <v>Electric LinesAerial2 x 0.4 kV2 phase(s)wire:AL, 50 mm2Console</v>
          </cell>
          <cell r="C431" t="str">
            <v>Electric Lines</v>
          </cell>
          <cell r="D431" t="str">
            <v>Aerial</v>
          </cell>
          <cell r="E431" t="str">
            <v>2 x 0.4 kV</v>
          </cell>
          <cell r="F431" t="str">
            <v>2 phase(s)</v>
          </cell>
          <cell r="G431" t="str">
            <v>wire:AL, 50 mm2</v>
          </cell>
          <cell r="H431" t="str">
            <v>Console</v>
          </cell>
          <cell r="I431">
            <v>11880</v>
          </cell>
          <cell r="J431">
            <v>25</v>
          </cell>
          <cell r="K431">
            <v>0.95</v>
          </cell>
          <cell r="L431">
            <v>5</v>
          </cell>
          <cell r="M431">
            <v>0.04</v>
          </cell>
          <cell r="N431">
            <v>5</v>
          </cell>
          <cell r="O431">
            <v>17600</v>
          </cell>
          <cell r="P431">
            <v>0.1</v>
          </cell>
          <cell r="Q431">
            <v>0.25</v>
          </cell>
        </row>
        <row r="432">
          <cell r="B432" t="str">
            <v>Electric LinesAerial2 x 0.4 kV2 phase(s)wire:AL, 50 mm2Only the wire</v>
          </cell>
          <cell r="C432" t="str">
            <v>Electric Lines</v>
          </cell>
          <cell r="D432" t="str">
            <v>Aerial</v>
          </cell>
          <cell r="E432" t="str">
            <v>2 x 0.4 kV</v>
          </cell>
          <cell r="F432" t="str">
            <v>2 phase(s)</v>
          </cell>
          <cell r="G432" t="str">
            <v>wire:AL, 50 mm2</v>
          </cell>
          <cell r="H432" t="str">
            <v>Only the wire</v>
          </cell>
          <cell r="I432">
            <v>7560</v>
          </cell>
          <cell r="J432">
            <v>25</v>
          </cell>
          <cell r="K432">
            <v>0.95</v>
          </cell>
          <cell r="L432">
            <v>5</v>
          </cell>
          <cell r="M432">
            <v>0.04</v>
          </cell>
          <cell r="N432">
            <v>5</v>
          </cell>
          <cell r="O432">
            <v>11200</v>
          </cell>
          <cell r="P432">
            <v>0.1</v>
          </cell>
          <cell r="Q432">
            <v>0.25</v>
          </cell>
        </row>
        <row r="433">
          <cell r="B433" t="str">
            <v>Electric LinesAerial2 x 0.4 kV3 phase(s)wire:AL, 35 mm2Concrete Pole</v>
          </cell>
          <cell r="C433" t="str">
            <v>Electric Lines</v>
          </cell>
          <cell r="D433" t="str">
            <v>Aerial</v>
          </cell>
          <cell r="E433" t="str">
            <v>2 x 0.4 kV</v>
          </cell>
          <cell r="F433" t="str">
            <v>3 phase(s)</v>
          </cell>
          <cell r="G433" t="str">
            <v>wire:AL, 35 mm2</v>
          </cell>
          <cell r="H433" t="str">
            <v>Concrete Pole</v>
          </cell>
          <cell r="I433">
            <v>15255</v>
          </cell>
          <cell r="J433">
            <v>30</v>
          </cell>
          <cell r="K433">
            <v>0.95</v>
          </cell>
          <cell r="L433">
            <v>7</v>
          </cell>
          <cell r="M433">
            <v>0.04</v>
          </cell>
          <cell r="N433">
            <v>5</v>
          </cell>
          <cell r="O433">
            <v>22600</v>
          </cell>
          <cell r="P433">
            <v>0.1</v>
          </cell>
          <cell r="Q433">
            <v>0.25</v>
          </cell>
        </row>
        <row r="434">
          <cell r="B434" t="str">
            <v>Electric LinesAerial2 x 0.4 kV3 phase(s)wire:AL, 35 mm2Metal Pole</v>
          </cell>
          <cell r="C434" t="str">
            <v>Electric Lines</v>
          </cell>
          <cell r="D434" t="str">
            <v>Aerial</v>
          </cell>
          <cell r="E434" t="str">
            <v>2 x 0.4 kV</v>
          </cell>
          <cell r="F434" t="str">
            <v>3 phase(s)</v>
          </cell>
          <cell r="G434" t="str">
            <v>wire:AL, 35 mm2</v>
          </cell>
          <cell r="H434" t="str">
            <v>Metal Pole</v>
          </cell>
          <cell r="I434">
            <v>19372.5</v>
          </cell>
          <cell r="J434">
            <v>30</v>
          </cell>
          <cell r="K434">
            <v>0.95</v>
          </cell>
          <cell r="L434">
            <v>7</v>
          </cell>
          <cell r="M434">
            <v>0.04</v>
          </cell>
          <cell r="N434">
            <v>5</v>
          </cell>
          <cell r="O434">
            <v>28700</v>
          </cell>
          <cell r="P434">
            <v>0.1</v>
          </cell>
          <cell r="Q434">
            <v>0.25</v>
          </cell>
        </row>
        <row r="435">
          <cell r="B435" t="str">
            <v>Electric LinesAerial2 x 0.4 kV3 phase(s)wire:AL, 35 mm2Wood Pole</v>
          </cell>
          <cell r="C435" t="str">
            <v>Electric Lines</v>
          </cell>
          <cell r="D435" t="str">
            <v>Aerial</v>
          </cell>
          <cell r="E435" t="str">
            <v>2 x 0.4 kV</v>
          </cell>
          <cell r="F435" t="str">
            <v>3 phase(s)</v>
          </cell>
          <cell r="G435" t="str">
            <v>wire:AL, 35 mm2</v>
          </cell>
          <cell r="H435" t="str">
            <v>Wood Pole</v>
          </cell>
          <cell r="I435">
            <v>13770</v>
          </cell>
          <cell r="J435">
            <v>25</v>
          </cell>
          <cell r="K435">
            <v>0.95</v>
          </cell>
          <cell r="L435">
            <v>5</v>
          </cell>
          <cell r="M435">
            <v>0.04</v>
          </cell>
          <cell r="N435">
            <v>5</v>
          </cell>
          <cell r="O435">
            <v>20400</v>
          </cell>
          <cell r="P435">
            <v>0.1</v>
          </cell>
          <cell r="Q435">
            <v>0.25</v>
          </cell>
        </row>
        <row r="436">
          <cell r="B436" t="str">
            <v>Electric LinesAerial2 x 0.4 kV3 phase(s)wire:AL, 35 mm2Console</v>
          </cell>
          <cell r="C436" t="str">
            <v>Electric Lines</v>
          </cell>
          <cell r="D436" t="str">
            <v>Aerial</v>
          </cell>
          <cell r="E436" t="str">
            <v>2 x 0.4 kV</v>
          </cell>
          <cell r="F436" t="str">
            <v>3 phase(s)</v>
          </cell>
          <cell r="G436" t="str">
            <v>wire:AL, 35 mm2</v>
          </cell>
          <cell r="H436" t="str">
            <v>Console</v>
          </cell>
          <cell r="I436">
            <v>11205</v>
          </cell>
          <cell r="J436">
            <v>25</v>
          </cell>
          <cell r="K436">
            <v>0.95</v>
          </cell>
          <cell r="L436">
            <v>5</v>
          </cell>
          <cell r="M436">
            <v>0.04</v>
          </cell>
          <cell r="N436">
            <v>5</v>
          </cell>
          <cell r="O436">
            <v>16600</v>
          </cell>
          <cell r="P436">
            <v>0.1</v>
          </cell>
          <cell r="Q436">
            <v>0.25</v>
          </cell>
        </row>
        <row r="437">
          <cell r="B437" t="str">
            <v>Electric LinesAerial2 x 0.4 kV3 phase(s)wire:AL, 35 mm2Only the wire</v>
          </cell>
          <cell r="C437" t="str">
            <v>Electric Lines</v>
          </cell>
          <cell r="D437" t="str">
            <v>Aerial</v>
          </cell>
          <cell r="E437" t="str">
            <v>2 x 0.4 kV</v>
          </cell>
          <cell r="F437" t="str">
            <v>3 phase(s)</v>
          </cell>
          <cell r="G437" t="str">
            <v>wire:AL, 35 mm2</v>
          </cell>
          <cell r="H437" t="str">
            <v>Only the wire</v>
          </cell>
          <cell r="I437">
            <v>7155</v>
          </cell>
          <cell r="J437">
            <v>25</v>
          </cell>
          <cell r="K437">
            <v>0.95</v>
          </cell>
          <cell r="L437">
            <v>5</v>
          </cell>
          <cell r="M437">
            <v>0.04</v>
          </cell>
          <cell r="N437">
            <v>5</v>
          </cell>
          <cell r="O437">
            <v>10600</v>
          </cell>
          <cell r="P437">
            <v>0.1</v>
          </cell>
          <cell r="Q437">
            <v>0.25</v>
          </cell>
        </row>
        <row r="438">
          <cell r="B438" t="str">
            <v>Electric LinesAerial2 x 0.4 kV3 phase(s)wire:AL, 50 mm2Concrete Pole</v>
          </cell>
          <cell r="C438" t="str">
            <v>Electric Lines</v>
          </cell>
          <cell r="D438" t="str">
            <v>Aerial</v>
          </cell>
          <cell r="E438" t="str">
            <v>2 x 0.4 kV</v>
          </cell>
          <cell r="F438" t="str">
            <v>3 phase(s)</v>
          </cell>
          <cell r="G438" t="str">
            <v>wire:AL, 50 mm2</v>
          </cell>
          <cell r="H438" t="str">
            <v>Concrete Pole</v>
          </cell>
          <cell r="I438">
            <v>16132.5</v>
          </cell>
          <cell r="J438">
            <v>30</v>
          </cell>
          <cell r="K438">
            <v>0.95</v>
          </cell>
          <cell r="L438">
            <v>7</v>
          </cell>
          <cell r="M438">
            <v>0.04</v>
          </cell>
          <cell r="N438">
            <v>5</v>
          </cell>
          <cell r="O438">
            <v>23900</v>
          </cell>
          <cell r="P438">
            <v>0.1</v>
          </cell>
          <cell r="Q438">
            <v>0.25</v>
          </cell>
        </row>
        <row r="439">
          <cell r="B439" t="str">
            <v>Electric LinesAerial2 x 0.4 kV3 phase(s)wire:AL, 50 mm2Metal Pole</v>
          </cell>
          <cell r="C439" t="str">
            <v>Electric Lines</v>
          </cell>
          <cell r="D439" t="str">
            <v>Aerial</v>
          </cell>
          <cell r="E439" t="str">
            <v>2 x 0.4 kV</v>
          </cell>
          <cell r="F439" t="str">
            <v>3 phase(s)</v>
          </cell>
          <cell r="G439" t="str">
            <v>wire:AL, 50 mm2</v>
          </cell>
          <cell r="H439" t="str">
            <v>Metal Pole</v>
          </cell>
          <cell r="I439">
            <v>20520</v>
          </cell>
          <cell r="J439">
            <v>30</v>
          </cell>
          <cell r="K439">
            <v>0.95</v>
          </cell>
          <cell r="L439">
            <v>7</v>
          </cell>
          <cell r="M439">
            <v>0.04</v>
          </cell>
          <cell r="N439">
            <v>5</v>
          </cell>
          <cell r="O439">
            <v>30400</v>
          </cell>
          <cell r="P439">
            <v>0.1</v>
          </cell>
          <cell r="Q439">
            <v>0.25</v>
          </cell>
        </row>
        <row r="440">
          <cell r="B440" t="str">
            <v>Electric LinesAerial2 x 0.4 kV3 phase(s)wire:AL, 50 mm2Wood Pole</v>
          </cell>
          <cell r="C440" t="str">
            <v>Electric Lines</v>
          </cell>
          <cell r="D440" t="str">
            <v>Aerial</v>
          </cell>
          <cell r="E440" t="str">
            <v>2 x 0.4 kV</v>
          </cell>
          <cell r="F440" t="str">
            <v>3 phase(s)</v>
          </cell>
          <cell r="G440" t="str">
            <v>wire:AL, 50 mm2</v>
          </cell>
          <cell r="H440" t="str">
            <v>Wood Pole</v>
          </cell>
          <cell r="I440">
            <v>14580</v>
          </cell>
          <cell r="J440">
            <v>25</v>
          </cell>
          <cell r="K440">
            <v>0.95</v>
          </cell>
          <cell r="L440">
            <v>5</v>
          </cell>
          <cell r="M440">
            <v>0.04</v>
          </cell>
          <cell r="N440">
            <v>5</v>
          </cell>
          <cell r="O440">
            <v>21600</v>
          </cell>
          <cell r="P440">
            <v>0.1</v>
          </cell>
          <cell r="Q440">
            <v>0.25</v>
          </cell>
        </row>
        <row r="441">
          <cell r="B441" t="str">
            <v>Electric LinesAerial2 x 0.4 kV3 phase(s)wire:AL, 50 mm2Console</v>
          </cell>
          <cell r="C441" t="str">
            <v>Electric Lines</v>
          </cell>
          <cell r="D441" t="str">
            <v>Aerial</v>
          </cell>
          <cell r="E441" t="str">
            <v>2 x 0.4 kV</v>
          </cell>
          <cell r="F441" t="str">
            <v>3 phase(s)</v>
          </cell>
          <cell r="G441" t="str">
            <v>wire:AL, 50 mm2</v>
          </cell>
          <cell r="H441" t="str">
            <v>Console</v>
          </cell>
          <cell r="I441">
            <v>11880</v>
          </cell>
          <cell r="J441">
            <v>25</v>
          </cell>
          <cell r="K441">
            <v>0.95</v>
          </cell>
          <cell r="L441">
            <v>5</v>
          </cell>
          <cell r="M441">
            <v>0.04</v>
          </cell>
          <cell r="N441">
            <v>5</v>
          </cell>
          <cell r="O441">
            <v>17600</v>
          </cell>
          <cell r="P441">
            <v>0.1</v>
          </cell>
          <cell r="Q441">
            <v>0.25</v>
          </cell>
        </row>
        <row r="442">
          <cell r="B442" t="str">
            <v>Electric LinesAerial2 x 0.4 kV3 phase(s)wire:AL, 50 mm2Only the wire</v>
          </cell>
          <cell r="C442" t="str">
            <v>Electric Lines</v>
          </cell>
          <cell r="D442" t="str">
            <v>Aerial</v>
          </cell>
          <cell r="E442" t="str">
            <v>2 x 0.4 kV</v>
          </cell>
          <cell r="F442" t="str">
            <v>3 phase(s)</v>
          </cell>
          <cell r="G442" t="str">
            <v>wire:AL, 50 mm2</v>
          </cell>
          <cell r="H442" t="str">
            <v>Only the wire</v>
          </cell>
          <cell r="I442">
            <v>7560</v>
          </cell>
          <cell r="J442">
            <v>25</v>
          </cell>
          <cell r="K442">
            <v>0.95</v>
          </cell>
          <cell r="L442">
            <v>5</v>
          </cell>
          <cell r="M442">
            <v>0.04</v>
          </cell>
          <cell r="N442">
            <v>5</v>
          </cell>
          <cell r="O442">
            <v>11200</v>
          </cell>
          <cell r="P442">
            <v>0.1</v>
          </cell>
          <cell r="Q442">
            <v>0.25</v>
          </cell>
        </row>
        <row r="443">
          <cell r="B443" t="str">
            <v>Electric LinesAerial2 x 0.4 kV3 phase(s)wire:AL, 70 mm2Concrete Pole</v>
          </cell>
          <cell r="C443" t="str">
            <v>Electric Lines</v>
          </cell>
          <cell r="D443" t="str">
            <v>Aerial</v>
          </cell>
          <cell r="E443" t="str">
            <v>2 x 0.4 kV</v>
          </cell>
          <cell r="F443" t="str">
            <v>3 phase(s)</v>
          </cell>
          <cell r="G443" t="str">
            <v>wire:AL, 70 mm2</v>
          </cell>
          <cell r="H443" t="str">
            <v>Concrete Pole</v>
          </cell>
          <cell r="I443">
            <v>21600</v>
          </cell>
          <cell r="J443">
            <v>30</v>
          </cell>
          <cell r="K443">
            <v>0.95</v>
          </cell>
          <cell r="L443">
            <v>7</v>
          </cell>
          <cell r="M443">
            <v>0.04</v>
          </cell>
          <cell r="N443">
            <v>5</v>
          </cell>
          <cell r="O443">
            <v>32000</v>
          </cell>
          <cell r="P443">
            <v>0.1</v>
          </cell>
          <cell r="Q443">
            <v>0.25</v>
          </cell>
        </row>
        <row r="444">
          <cell r="B444" t="str">
            <v>Electric LinesAerial2 x 0.4 kV3 phase(s)wire:AL, 70 mm2Metal Pole</v>
          </cell>
          <cell r="C444" t="str">
            <v>Electric Lines</v>
          </cell>
          <cell r="D444" t="str">
            <v>Aerial</v>
          </cell>
          <cell r="E444" t="str">
            <v>2 x 0.4 kV</v>
          </cell>
          <cell r="F444" t="str">
            <v>3 phase(s)</v>
          </cell>
          <cell r="G444" t="str">
            <v>wire:AL, 70 mm2</v>
          </cell>
          <cell r="H444" t="str">
            <v>Metal Pole</v>
          </cell>
          <cell r="I444">
            <v>27000</v>
          </cell>
          <cell r="J444">
            <v>30</v>
          </cell>
          <cell r="K444">
            <v>0.95</v>
          </cell>
          <cell r="L444">
            <v>7</v>
          </cell>
          <cell r="M444">
            <v>0.04</v>
          </cell>
          <cell r="N444">
            <v>5</v>
          </cell>
          <cell r="O444">
            <v>40000</v>
          </cell>
          <cell r="P444">
            <v>0.1</v>
          </cell>
          <cell r="Q444">
            <v>0.25</v>
          </cell>
        </row>
        <row r="445">
          <cell r="B445" t="str">
            <v>Electric LinesAerial2 x 0.4 kV3 phase(s)wire:AL, 70 mm2Wood Pole</v>
          </cell>
          <cell r="C445" t="str">
            <v>Electric Lines</v>
          </cell>
          <cell r="D445" t="str">
            <v>Aerial</v>
          </cell>
          <cell r="E445" t="str">
            <v>2 x 0.4 kV</v>
          </cell>
          <cell r="F445" t="str">
            <v>3 phase(s)</v>
          </cell>
          <cell r="G445" t="str">
            <v>wire:AL, 70 mm2</v>
          </cell>
          <cell r="H445" t="str">
            <v>Wood Pole</v>
          </cell>
          <cell r="I445">
            <v>19575</v>
          </cell>
          <cell r="J445">
            <v>25</v>
          </cell>
          <cell r="K445">
            <v>0.95</v>
          </cell>
          <cell r="L445">
            <v>5</v>
          </cell>
          <cell r="M445">
            <v>0.04</v>
          </cell>
          <cell r="N445">
            <v>5</v>
          </cell>
          <cell r="O445">
            <v>29000</v>
          </cell>
          <cell r="P445">
            <v>0.1</v>
          </cell>
          <cell r="Q445">
            <v>0.25</v>
          </cell>
        </row>
        <row r="446">
          <cell r="B446" t="str">
            <v>Electric LinesAerial2 x 0.4 kV3 phase(s)wire:AL, 70 mm2Console</v>
          </cell>
          <cell r="C446" t="str">
            <v>Electric Lines</v>
          </cell>
          <cell r="D446" t="str">
            <v>Aerial</v>
          </cell>
          <cell r="E446" t="str">
            <v>2 x 0.4 kV</v>
          </cell>
          <cell r="F446" t="str">
            <v>3 phase(s)</v>
          </cell>
          <cell r="G446" t="str">
            <v>wire:AL, 70 mm2</v>
          </cell>
          <cell r="H446" t="str">
            <v>Console</v>
          </cell>
          <cell r="I446">
            <v>12825</v>
          </cell>
          <cell r="J446">
            <v>25</v>
          </cell>
          <cell r="K446">
            <v>0.95</v>
          </cell>
          <cell r="L446">
            <v>5</v>
          </cell>
          <cell r="M446">
            <v>0.04</v>
          </cell>
          <cell r="N446">
            <v>5</v>
          </cell>
          <cell r="O446">
            <v>19000</v>
          </cell>
          <cell r="P446">
            <v>0.1</v>
          </cell>
          <cell r="Q446">
            <v>0.25</v>
          </cell>
        </row>
        <row r="447">
          <cell r="B447" t="str">
            <v>Electric LinesAerial2 x 0.4 kV3 phase(s)wire:AL, 70 mm2Only the wire</v>
          </cell>
          <cell r="C447" t="str">
            <v>Electric Lines</v>
          </cell>
          <cell r="D447" t="str">
            <v>Aerial</v>
          </cell>
          <cell r="E447" t="str">
            <v>2 x 0.4 kV</v>
          </cell>
          <cell r="F447" t="str">
            <v>3 phase(s)</v>
          </cell>
          <cell r="G447" t="str">
            <v>wire:AL, 70 mm2</v>
          </cell>
          <cell r="H447" t="str">
            <v>Only the wire</v>
          </cell>
          <cell r="I447">
            <v>9450</v>
          </cell>
          <cell r="J447">
            <v>25</v>
          </cell>
          <cell r="K447">
            <v>0.95</v>
          </cell>
          <cell r="L447">
            <v>5</v>
          </cell>
          <cell r="M447">
            <v>0.04</v>
          </cell>
          <cell r="N447">
            <v>5</v>
          </cell>
          <cell r="O447">
            <v>14000</v>
          </cell>
          <cell r="P447">
            <v>0.1</v>
          </cell>
          <cell r="Q447">
            <v>0.25</v>
          </cell>
        </row>
        <row r="448">
          <cell r="B448" t="str">
            <v>Electric LinesAerial3 x 0.4 kV3 phase(s)wire:AL, 50 mm2Concrete Pole</v>
          </cell>
          <cell r="C448" t="str">
            <v>Electric Lines</v>
          </cell>
          <cell r="D448" t="str">
            <v>Aerial</v>
          </cell>
          <cell r="E448" t="str">
            <v>3 x 0.4 kV</v>
          </cell>
          <cell r="F448" t="str">
            <v>3 phase(s)</v>
          </cell>
          <cell r="G448" t="str">
            <v>wire:AL, 50 mm2</v>
          </cell>
          <cell r="H448" t="str">
            <v>Concrete Pole</v>
          </cell>
          <cell r="I448">
            <v>27675</v>
          </cell>
          <cell r="J448">
            <v>30</v>
          </cell>
          <cell r="K448">
            <v>0.95</v>
          </cell>
          <cell r="L448">
            <v>7</v>
          </cell>
          <cell r="M448">
            <v>0.04</v>
          </cell>
          <cell r="N448">
            <v>5</v>
          </cell>
          <cell r="O448">
            <v>41000</v>
          </cell>
          <cell r="P448">
            <v>0.1</v>
          </cell>
          <cell r="Q448">
            <v>0.25</v>
          </cell>
        </row>
        <row r="449">
          <cell r="B449" t="str">
            <v>Electric LinesAerial3 x 0.4 kV3 phase(s)wire:AL, 50 mm2Metal Pole</v>
          </cell>
          <cell r="C449" t="str">
            <v>Electric Lines</v>
          </cell>
          <cell r="D449" t="str">
            <v>Aerial</v>
          </cell>
          <cell r="E449" t="str">
            <v>3 x 0.4 kV</v>
          </cell>
          <cell r="F449" t="str">
            <v>3 phase(s)</v>
          </cell>
          <cell r="G449" t="str">
            <v>wire:AL, 50 mm2</v>
          </cell>
          <cell r="H449" t="str">
            <v>Metal Pole</v>
          </cell>
          <cell r="I449">
            <v>33750</v>
          </cell>
          <cell r="J449">
            <v>30</v>
          </cell>
          <cell r="K449">
            <v>0.95</v>
          </cell>
          <cell r="L449">
            <v>7</v>
          </cell>
          <cell r="M449">
            <v>0.04</v>
          </cell>
          <cell r="N449">
            <v>5</v>
          </cell>
          <cell r="O449">
            <v>50000</v>
          </cell>
          <cell r="P449">
            <v>0.1</v>
          </cell>
          <cell r="Q449">
            <v>0.25</v>
          </cell>
        </row>
        <row r="450">
          <cell r="B450" t="str">
            <v>Electric LinesAerial3 x 0.4 kV3 phase(s)wire:AL, 50 mm2Wood Pole</v>
          </cell>
          <cell r="C450" t="str">
            <v>Electric Lines</v>
          </cell>
          <cell r="D450" t="str">
            <v>Aerial</v>
          </cell>
          <cell r="E450" t="str">
            <v>3 x 0.4 kV</v>
          </cell>
          <cell r="F450" t="str">
            <v>3 phase(s)</v>
          </cell>
          <cell r="G450" t="str">
            <v>wire:AL, 50 mm2</v>
          </cell>
          <cell r="H450" t="str">
            <v>Wood Pole</v>
          </cell>
          <cell r="I450">
            <v>19912.5</v>
          </cell>
          <cell r="J450">
            <v>25</v>
          </cell>
          <cell r="K450">
            <v>0.95</v>
          </cell>
          <cell r="L450">
            <v>5</v>
          </cell>
          <cell r="M450">
            <v>0.04</v>
          </cell>
          <cell r="N450">
            <v>5</v>
          </cell>
          <cell r="O450">
            <v>29500</v>
          </cell>
          <cell r="P450">
            <v>0.1</v>
          </cell>
          <cell r="Q450">
            <v>0.25</v>
          </cell>
        </row>
        <row r="451">
          <cell r="B451" t="str">
            <v>Electric LinesAerial3 x 0.4 kV3 phase(s)wire:AL, 50 mm2Console</v>
          </cell>
          <cell r="C451" t="str">
            <v>Electric Lines</v>
          </cell>
          <cell r="D451" t="str">
            <v>Aerial</v>
          </cell>
          <cell r="E451" t="str">
            <v>3 x 0.4 kV</v>
          </cell>
          <cell r="F451" t="str">
            <v>3 phase(s)</v>
          </cell>
          <cell r="G451" t="str">
            <v>wire:AL, 50 mm2</v>
          </cell>
          <cell r="H451" t="str">
            <v>Console</v>
          </cell>
          <cell r="I451">
            <v>13500</v>
          </cell>
          <cell r="J451">
            <v>25</v>
          </cell>
          <cell r="K451">
            <v>0.95</v>
          </cell>
          <cell r="L451">
            <v>5</v>
          </cell>
          <cell r="M451">
            <v>0.04</v>
          </cell>
          <cell r="N451">
            <v>5</v>
          </cell>
          <cell r="O451">
            <v>20000</v>
          </cell>
          <cell r="P451">
            <v>0.1</v>
          </cell>
          <cell r="Q451">
            <v>0.25</v>
          </cell>
        </row>
        <row r="452">
          <cell r="B452" t="str">
            <v>Electric LinesAerial3 x 0.4 kV3 phase(s)wire:AL, 50 mm2Only the wire</v>
          </cell>
          <cell r="C452" t="str">
            <v>Electric Lines</v>
          </cell>
          <cell r="D452" t="str">
            <v>Aerial</v>
          </cell>
          <cell r="E452" t="str">
            <v>3 x 0.4 kV</v>
          </cell>
          <cell r="F452" t="str">
            <v>3 phase(s)</v>
          </cell>
          <cell r="G452" t="str">
            <v>wire:AL, 50 mm2</v>
          </cell>
          <cell r="H452" t="str">
            <v>Only the wire</v>
          </cell>
          <cell r="I452">
            <v>11340</v>
          </cell>
          <cell r="J452">
            <v>25</v>
          </cell>
          <cell r="K452">
            <v>0.95</v>
          </cell>
          <cell r="L452">
            <v>5</v>
          </cell>
          <cell r="M452">
            <v>0.04</v>
          </cell>
          <cell r="N452">
            <v>5</v>
          </cell>
          <cell r="O452">
            <v>16800</v>
          </cell>
          <cell r="P452">
            <v>0.1</v>
          </cell>
          <cell r="Q452">
            <v>0.25</v>
          </cell>
        </row>
        <row r="453">
          <cell r="B453" t="str">
            <v>Auxiliary EquipmentAggregate100</v>
          </cell>
          <cell r="C453" t="str">
            <v>Auxiliary Equipment</v>
          </cell>
          <cell r="D453" t="str">
            <v>Aggregate</v>
          </cell>
          <cell r="E453">
            <v>0</v>
          </cell>
          <cell r="F453">
            <v>100</v>
          </cell>
          <cell r="I453">
            <v>11500</v>
          </cell>
          <cell r="J453">
            <v>15</v>
          </cell>
          <cell r="K453">
            <v>0.95</v>
          </cell>
          <cell r="L453">
            <v>3</v>
          </cell>
          <cell r="M453">
            <v>0.04</v>
          </cell>
          <cell r="N453">
            <v>5</v>
          </cell>
          <cell r="O453">
            <v>11500</v>
          </cell>
        </row>
        <row r="454">
          <cell r="B454" t="str">
            <v>Auxiliary EquipmentAggregate125</v>
          </cell>
          <cell r="C454" t="str">
            <v>Auxiliary Equipment</v>
          </cell>
          <cell r="D454" t="str">
            <v>Aggregate</v>
          </cell>
          <cell r="E454">
            <v>0</v>
          </cell>
          <cell r="F454">
            <v>125</v>
          </cell>
          <cell r="I454">
            <v>13000</v>
          </cell>
          <cell r="J454">
            <v>15</v>
          </cell>
          <cell r="K454">
            <v>0.95</v>
          </cell>
          <cell r="L454">
            <v>3</v>
          </cell>
          <cell r="M454">
            <v>0.04</v>
          </cell>
          <cell r="N454">
            <v>5</v>
          </cell>
          <cell r="O454">
            <v>13000</v>
          </cell>
        </row>
        <row r="455">
          <cell r="B455" t="str">
            <v>Auxiliary EquipmentAggregate120</v>
          </cell>
          <cell r="C455" t="str">
            <v>Auxiliary Equipment</v>
          </cell>
          <cell r="D455" t="str">
            <v>Aggregate</v>
          </cell>
          <cell r="E455">
            <v>0</v>
          </cell>
          <cell r="F455">
            <v>120</v>
          </cell>
          <cell r="I455">
            <v>12500</v>
          </cell>
          <cell r="J455">
            <v>15</v>
          </cell>
          <cell r="K455">
            <v>0.95</v>
          </cell>
          <cell r="L455">
            <v>3</v>
          </cell>
          <cell r="M455">
            <v>0.04</v>
          </cell>
          <cell r="N455">
            <v>5</v>
          </cell>
          <cell r="O455">
            <v>12500</v>
          </cell>
        </row>
        <row r="456">
          <cell r="B456" t="str">
            <v>Auxiliary EquipmentBattery10</v>
          </cell>
          <cell r="C456" t="str">
            <v>Auxiliary Equipment</v>
          </cell>
          <cell r="D456" t="str">
            <v>Battery</v>
          </cell>
          <cell r="E456">
            <v>0</v>
          </cell>
          <cell r="F456">
            <v>10</v>
          </cell>
          <cell r="I456">
            <v>2000</v>
          </cell>
          <cell r="J456">
            <v>15</v>
          </cell>
          <cell r="K456">
            <v>0.95</v>
          </cell>
          <cell r="L456">
            <v>3</v>
          </cell>
          <cell r="M456">
            <v>0.04</v>
          </cell>
          <cell r="N456">
            <v>5</v>
          </cell>
          <cell r="O456">
            <v>2000</v>
          </cell>
        </row>
        <row r="457">
          <cell r="B457" t="str">
            <v>Auxiliary EquipmentBattery36</v>
          </cell>
          <cell r="C457" t="str">
            <v>Auxiliary Equipment</v>
          </cell>
          <cell r="D457" t="str">
            <v>Battery</v>
          </cell>
          <cell r="E457">
            <v>0</v>
          </cell>
          <cell r="F457">
            <v>36</v>
          </cell>
          <cell r="I457">
            <v>2600</v>
          </cell>
          <cell r="J457">
            <v>15</v>
          </cell>
          <cell r="K457">
            <v>0.95</v>
          </cell>
          <cell r="L457">
            <v>3</v>
          </cell>
          <cell r="M457">
            <v>0.04</v>
          </cell>
          <cell r="N457">
            <v>5</v>
          </cell>
          <cell r="O457">
            <v>2600</v>
          </cell>
        </row>
        <row r="458">
          <cell r="B458" t="str">
            <v>Auxiliary EquipmentBattery65</v>
          </cell>
          <cell r="C458" t="str">
            <v>Auxiliary Equipment</v>
          </cell>
          <cell r="D458" t="str">
            <v>Battery</v>
          </cell>
          <cell r="E458">
            <v>0</v>
          </cell>
          <cell r="F458">
            <v>65</v>
          </cell>
          <cell r="I458">
            <v>3000</v>
          </cell>
          <cell r="J458">
            <v>15</v>
          </cell>
          <cell r="K458">
            <v>0.95</v>
          </cell>
          <cell r="L458">
            <v>3</v>
          </cell>
          <cell r="M458">
            <v>0.04</v>
          </cell>
          <cell r="N458">
            <v>5</v>
          </cell>
          <cell r="O458">
            <v>3000</v>
          </cell>
        </row>
        <row r="459">
          <cell r="B459" t="str">
            <v>Auxiliary EquipmentBattery72</v>
          </cell>
          <cell r="C459" t="str">
            <v>Auxiliary Equipment</v>
          </cell>
          <cell r="D459" t="str">
            <v>Battery</v>
          </cell>
          <cell r="E459">
            <v>0</v>
          </cell>
          <cell r="F459">
            <v>72</v>
          </cell>
          <cell r="I459">
            <v>3500</v>
          </cell>
          <cell r="J459">
            <v>15</v>
          </cell>
          <cell r="K459">
            <v>0.95</v>
          </cell>
          <cell r="L459">
            <v>3</v>
          </cell>
          <cell r="M459">
            <v>0.04</v>
          </cell>
          <cell r="N459">
            <v>5</v>
          </cell>
          <cell r="O459">
            <v>3500</v>
          </cell>
        </row>
        <row r="460">
          <cell r="B460" t="str">
            <v>Auxiliary EquipmentBattery80</v>
          </cell>
          <cell r="C460" t="str">
            <v>Auxiliary Equipment</v>
          </cell>
          <cell r="D460" t="str">
            <v>Battery</v>
          </cell>
          <cell r="E460">
            <v>0</v>
          </cell>
          <cell r="F460">
            <v>80</v>
          </cell>
          <cell r="I460">
            <v>4400</v>
          </cell>
          <cell r="J460">
            <v>15</v>
          </cell>
          <cell r="K460">
            <v>0.95</v>
          </cell>
          <cell r="L460">
            <v>3</v>
          </cell>
          <cell r="M460">
            <v>0.04</v>
          </cell>
          <cell r="N460">
            <v>5</v>
          </cell>
          <cell r="O460">
            <v>4400</v>
          </cell>
        </row>
        <row r="461">
          <cell r="B461" t="str">
            <v>Auxiliary EquipmentBattery100</v>
          </cell>
          <cell r="C461" t="str">
            <v>Auxiliary Equipment</v>
          </cell>
          <cell r="D461" t="str">
            <v>Battery</v>
          </cell>
          <cell r="E461">
            <v>0</v>
          </cell>
          <cell r="F461">
            <v>100</v>
          </cell>
          <cell r="I461">
            <v>5500</v>
          </cell>
          <cell r="J461">
            <v>15</v>
          </cell>
          <cell r="K461">
            <v>0.95</v>
          </cell>
          <cell r="L461">
            <v>3</v>
          </cell>
          <cell r="M461">
            <v>0.04</v>
          </cell>
          <cell r="N461">
            <v>5</v>
          </cell>
          <cell r="O461">
            <v>5500</v>
          </cell>
        </row>
        <row r="462">
          <cell r="B462" t="str">
            <v>Auxiliary EquipmentBattery112</v>
          </cell>
          <cell r="C462" t="str">
            <v>Auxiliary Equipment</v>
          </cell>
          <cell r="D462" t="str">
            <v>Battery</v>
          </cell>
          <cell r="E462">
            <v>0</v>
          </cell>
          <cell r="F462">
            <v>112</v>
          </cell>
          <cell r="I462">
            <v>6500</v>
          </cell>
          <cell r="J462">
            <v>15</v>
          </cell>
          <cell r="K462">
            <v>0.95</v>
          </cell>
          <cell r="L462">
            <v>3</v>
          </cell>
          <cell r="M462">
            <v>0.04</v>
          </cell>
          <cell r="N462">
            <v>5</v>
          </cell>
          <cell r="O462">
            <v>6500</v>
          </cell>
        </row>
        <row r="463">
          <cell r="B463" t="str">
            <v>Auxiliary EquipmentBattery135</v>
          </cell>
          <cell r="C463" t="str">
            <v>Auxiliary Equipment</v>
          </cell>
          <cell r="D463" t="str">
            <v>Battery</v>
          </cell>
          <cell r="E463">
            <v>0</v>
          </cell>
          <cell r="F463">
            <v>135</v>
          </cell>
          <cell r="I463">
            <v>7000</v>
          </cell>
          <cell r="J463">
            <v>15</v>
          </cell>
          <cell r="K463">
            <v>0.95</v>
          </cell>
          <cell r="L463">
            <v>3</v>
          </cell>
          <cell r="M463">
            <v>0.04</v>
          </cell>
          <cell r="N463">
            <v>5</v>
          </cell>
          <cell r="O463">
            <v>7000</v>
          </cell>
        </row>
        <row r="464">
          <cell r="B464" t="str">
            <v>Auxiliary EquipmentBattery150</v>
          </cell>
          <cell r="C464" t="str">
            <v>Auxiliary Equipment</v>
          </cell>
          <cell r="D464" t="str">
            <v>Battery</v>
          </cell>
          <cell r="E464">
            <v>0</v>
          </cell>
          <cell r="F464">
            <v>150</v>
          </cell>
          <cell r="I464">
            <v>8100</v>
          </cell>
          <cell r="J464">
            <v>15</v>
          </cell>
          <cell r="K464">
            <v>0.95</v>
          </cell>
          <cell r="L464">
            <v>3</v>
          </cell>
          <cell r="M464">
            <v>0.04</v>
          </cell>
          <cell r="N464">
            <v>5</v>
          </cell>
          <cell r="O464">
            <v>8100</v>
          </cell>
        </row>
        <row r="465">
          <cell r="B465" t="str">
            <v>Auxiliary EquipmentBattery160</v>
          </cell>
          <cell r="C465" t="str">
            <v>Auxiliary Equipment</v>
          </cell>
          <cell r="D465" t="str">
            <v>Battery</v>
          </cell>
          <cell r="E465">
            <v>0</v>
          </cell>
          <cell r="F465">
            <v>160</v>
          </cell>
          <cell r="I465">
            <v>8480</v>
          </cell>
          <cell r="J465">
            <v>15</v>
          </cell>
          <cell r="K465">
            <v>0.95</v>
          </cell>
          <cell r="L465">
            <v>3</v>
          </cell>
          <cell r="M465">
            <v>0.04</v>
          </cell>
          <cell r="N465">
            <v>5</v>
          </cell>
          <cell r="O465">
            <v>8480</v>
          </cell>
        </row>
        <row r="466">
          <cell r="B466" t="str">
            <v>Auxiliary EquipmentBattery180</v>
          </cell>
          <cell r="C466" t="str">
            <v>Auxiliary Equipment</v>
          </cell>
          <cell r="D466" t="str">
            <v>Battery</v>
          </cell>
          <cell r="E466">
            <v>0</v>
          </cell>
          <cell r="F466">
            <v>180</v>
          </cell>
          <cell r="I466">
            <v>9540</v>
          </cell>
          <cell r="J466">
            <v>15</v>
          </cell>
          <cell r="K466">
            <v>0.95</v>
          </cell>
          <cell r="L466">
            <v>3</v>
          </cell>
          <cell r="M466">
            <v>0.04</v>
          </cell>
          <cell r="N466">
            <v>5</v>
          </cell>
          <cell r="O466">
            <v>9540</v>
          </cell>
        </row>
        <row r="467">
          <cell r="B467" t="str">
            <v>Auxiliary EquipmentBattery200</v>
          </cell>
          <cell r="C467" t="str">
            <v>Auxiliary Equipment</v>
          </cell>
          <cell r="D467" t="str">
            <v>Battery</v>
          </cell>
          <cell r="E467">
            <v>0</v>
          </cell>
          <cell r="F467">
            <v>200</v>
          </cell>
          <cell r="I467">
            <v>10600</v>
          </cell>
          <cell r="J467">
            <v>15</v>
          </cell>
          <cell r="K467">
            <v>0.95</v>
          </cell>
          <cell r="L467">
            <v>3</v>
          </cell>
          <cell r="M467">
            <v>0.04</v>
          </cell>
          <cell r="N467">
            <v>5</v>
          </cell>
          <cell r="O467">
            <v>10600</v>
          </cell>
        </row>
        <row r="468">
          <cell r="B468" t="str">
            <v>Auxiliary EquipmentBattery204</v>
          </cell>
          <cell r="C468" t="str">
            <v>Auxiliary Equipment</v>
          </cell>
          <cell r="D468" t="str">
            <v>Battery</v>
          </cell>
          <cell r="E468">
            <v>0</v>
          </cell>
          <cell r="F468">
            <v>204</v>
          </cell>
          <cell r="I468">
            <v>10600</v>
          </cell>
          <cell r="J468">
            <v>15</v>
          </cell>
          <cell r="K468">
            <v>0.95</v>
          </cell>
          <cell r="L468">
            <v>3</v>
          </cell>
          <cell r="M468">
            <v>0.04</v>
          </cell>
          <cell r="N468">
            <v>5</v>
          </cell>
          <cell r="O468">
            <v>10600</v>
          </cell>
        </row>
        <row r="469">
          <cell r="B469" t="str">
            <v>Auxiliary EquipmentBattery216</v>
          </cell>
          <cell r="C469" t="str">
            <v>Auxiliary Equipment</v>
          </cell>
          <cell r="D469" t="str">
            <v>Battery</v>
          </cell>
          <cell r="E469">
            <v>0</v>
          </cell>
          <cell r="F469">
            <v>216</v>
          </cell>
          <cell r="I469">
            <v>10600</v>
          </cell>
          <cell r="J469">
            <v>15</v>
          </cell>
          <cell r="K469">
            <v>0.95</v>
          </cell>
          <cell r="L469">
            <v>3</v>
          </cell>
          <cell r="M469">
            <v>0.04</v>
          </cell>
          <cell r="N469">
            <v>5</v>
          </cell>
          <cell r="O469">
            <v>10600</v>
          </cell>
        </row>
        <row r="470">
          <cell r="B470" t="str">
            <v>Auxiliary EquipmentBattery225</v>
          </cell>
          <cell r="C470" t="str">
            <v>Auxiliary Equipment</v>
          </cell>
          <cell r="D470" t="str">
            <v>Battery</v>
          </cell>
          <cell r="E470">
            <v>0</v>
          </cell>
          <cell r="F470">
            <v>225</v>
          </cell>
          <cell r="I470">
            <v>10600</v>
          </cell>
          <cell r="J470">
            <v>15</v>
          </cell>
          <cell r="K470">
            <v>0.95</v>
          </cell>
          <cell r="L470">
            <v>3</v>
          </cell>
          <cell r="M470">
            <v>0.04</v>
          </cell>
          <cell r="N470">
            <v>5</v>
          </cell>
          <cell r="O470">
            <v>10600</v>
          </cell>
        </row>
        <row r="471">
          <cell r="B471" t="str">
            <v>Auxiliary EquipmentBattery250</v>
          </cell>
          <cell r="C471" t="str">
            <v>Auxiliary Equipment</v>
          </cell>
          <cell r="D471" t="str">
            <v>Battery</v>
          </cell>
          <cell r="E471">
            <v>0</v>
          </cell>
          <cell r="F471">
            <v>250</v>
          </cell>
          <cell r="I471">
            <v>12500</v>
          </cell>
          <cell r="J471">
            <v>15</v>
          </cell>
          <cell r="K471">
            <v>0.95</v>
          </cell>
          <cell r="L471">
            <v>3</v>
          </cell>
          <cell r="M471">
            <v>0.04</v>
          </cell>
          <cell r="N471">
            <v>5</v>
          </cell>
          <cell r="O471">
            <v>12500</v>
          </cell>
        </row>
        <row r="472">
          <cell r="B472" t="str">
            <v>Auxiliary EquipmentBattery345</v>
          </cell>
          <cell r="C472" t="str">
            <v>Auxiliary Equipment</v>
          </cell>
          <cell r="D472" t="str">
            <v>Battery</v>
          </cell>
          <cell r="E472">
            <v>0</v>
          </cell>
          <cell r="F472">
            <v>345</v>
          </cell>
          <cell r="I472">
            <v>17500</v>
          </cell>
          <cell r="J472">
            <v>15</v>
          </cell>
          <cell r="K472">
            <v>0.95</v>
          </cell>
          <cell r="L472">
            <v>3</v>
          </cell>
          <cell r="M472">
            <v>0.04</v>
          </cell>
          <cell r="N472">
            <v>5</v>
          </cell>
          <cell r="O472">
            <v>17500</v>
          </cell>
        </row>
        <row r="473">
          <cell r="B473" t="str">
            <v>Auxiliary EquipmentBattery360</v>
          </cell>
          <cell r="C473" t="str">
            <v>Auxiliary Equipment</v>
          </cell>
          <cell r="D473" t="str">
            <v>Battery</v>
          </cell>
          <cell r="E473">
            <v>0</v>
          </cell>
          <cell r="F473">
            <v>360</v>
          </cell>
          <cell r="I473">
            <v>17500</v>
          </cell>
          <cell r="J473">
            <v>15</v>
          </cell>
          <cell r="K473">
            <v>0.95</v>
          </cell>
          <cell r="L473">
            <v>3</v>
          </cell>
          <cell r="M473">
            <v>0.04</v>
          </cell>
          <cell r="N473">
            <v>5</v>
          </cell>
          <cell r="O473">
            <v>17500</v>
          </cell>
        </row>
        <row r="474">
          <cell r="B474" t="str">
            <v>Auxiliary EquipmentBattery400</v>
          </cell>
          <cell r="C474" t="str">
            <v>Auxiliary Equipment</v>
          </cell>
          <cell r="D474" t="str">
            <v>Battery</v>
          </cell>
          <cell r="E474">
            <v>0</v>
          </cell>
          <cell r="F474">
            <v>400</v>
          </cell>
          <cell r="I474">
            <v>20000</v>
          </cell>
          <cell r="J474">
            <v>15</v>
          </cell>
          <cell r="K474">
            <v>0.95</v>
          </cell>
          <cell r="L474">
            <v>3</v>
          </cell>
          <cell r="M474">
            <v>0.04</v>
          </cell>
          <cell r="N474">
            <v>5</v>
          </cell>
          <cell r="O474">
            <v>20000</v>
          </cell>
        </row>
        <row r="475">
          <cell r="B475" t="str">
            <v>Auxiliary EquipmentBattery420</v>
          </cell>
          <cell r="C475" t="str">
            <v>Auxiliary Equipment</v>
          </cell>
          <cell r="D475" t="str">
            <v>Battery</v>
          </cell>
          <cell r="E475">
            <v>0</v>
          </cell>
          <cell r="F475">
            <v>420</v>
          </cell>
          <cell r="I475">
            <v>21000</v>
          </cell>
          <cell r="J475">
            <v>15</v>
          </cell>
          <cell r="K475">
            <v>0.95</v>
          </cell>
          <cell r="L475">
            <v>3</v>
          </cell>
          <cell r="M475">
            <v>0.04</v>
          </cell>
          <cell r="N475">
            <v>5</v>
          </cell>
          <cell r="O475">
            <v>21000</v>
          </cell>
        </row>
        <row r="476">
          <cell r="B476" t="str">
            <v>Auxiliary EquipmentCondenser2.4</v>
          </cell>
          <cell r="C476" t="str">
            <v>Auxiliary Equipment</v>
          </cell>
          <cell r="D476" t="str">
            <v>Condenser</v>
          </cell>
          <cell r="E476">
            <v>0</v>
          </cell>
          <cell r="F476">
            <v>2.4</v>
          </cell>
          <cell r="I476">
            <v>500</v>
          </cell>
          <cell r="J476">
            <v>20</v>
          </cell>
          <cell r="K476">
            <v>0.95</v>
          </cell>
          <cell r="L476">
            <v>4</v>
          </cell>
          <cell r="M476">
            <v>0.04</v>
          </cell>
          <cell r="N476">
            <v>5</v>
          </cell>
          <cell r="O476">
            <v>500</v>
          </cell>
        </row>
        <row r="477">
          <cell r="B477" t="str">
            <v>Auxiliary EquipmentCondenser87</v>
          </cell>
          <cell r="C477" t="str">
            <v>Auxiliary Equipment</v>
          </cell>
          <cell r="D477" t="str">
            <v>Condenser</v>
          </cell>
          <cell r="E477">
            <v>0</v>
          </cell>
          <cell r="F477">
            <v>87</v>
          </cell>
          <cell r="I477">
            <v>1400</v>
          </cell>
          <cell r="J477">
            <v>20</v>
          </cell>
          <cell r="K477">
            <v>0.95</v>
          </cell>
          <cell r="L477">
            <v>4</v>
          </cell>
          <cell r="M477">
            <v>0.04</v>
          </cell>
          <cell r="N477">
            <v>5</v>
          </cell>
          <cell r="O477">
            <v>1400</v>
          </cell>
        </row>
        <row r="478">
          <cell r="B478" t="str">
            <v>Auxiliary EquipmentCondenser120</v>
          </cell>
          <cell r="C478" t="str">
            <v>Auxiliary Equipment</v>
          </cell>
          <cell r="D478" t="str">
            <v>Condenser</v>
          </cell>
          <cell r="E478">
            <v>0</v>
          </cell>
          <cell r="F478">
            <v>120</v>
          </cell>
          <cell r="I478">
            <v>1575</v>
          </cell>
          <cell r="J478">
            <v>20</v>
          </cell>
          <cell r="K478">
            <v>0.95</v>
          </cell>
          <cell r="L478">
            <v>4</v>
          </cell>
          <cell r="M478">
            <v>0.04</v>
          </cell>
          <cell r="N478">
            <v>5</v>
          </cell>
          <cell r="O478">
            <v>1575</v>
          </cell>
        </row>
        <row r="479">
          <cell r="B479" t="str">
            <v>Auxiliary EquipmentCondenser600</v>
          </cell>
          <cell r="C479" t="str">
            <v>Auxiliary Equipment</v>
          </cell>
          <cell r="D479" t="str">
            <v>Condenser</v>
          </cell>
          <cell r="E479">
            <v>0</v>
          </cell>
          <cell r="F479">
            <v>600</v>
          </cell>
          <cell r="I479">
            <v>4025</v>
          </cell>
          <cell r="J479">
            <v>20</v>
          </cell>
          <cell r="K479">
            <v>0.95</v>
          </cell>
          <cell r="L479">
            <v>4</v>
          </cell>
          <cell r="M479">
            <v>0.04</v>
          </cell>
          <cell r="N479">
            <v>5</v>
          </cell>
          <cell r="O479">
            <v>4025</v>
          </cell>
        </row>
        <row r="480">
          <cell r="B480" t="str">
            <v>Auxiliary EquipmentCondenser1200</v>
          </cell>
          <cell r="C480" t="str">
            <v>Auxiliary Equipment</v>
          </cell>
          <cell r="D480" t="str">
            <v>Condenser</v>
          </cell>
          <cell r="E480">
            <v>0</v>
          </cell>
          <cell r="F480">
            <v>1200</v>
          </cell>
          <cell r="I480">
            <v>6650</v>
          </cell>
          <cell r="J480">
            <v>20</v>
          </cell>
          <cell r="K480">
            <v>0.95</v>
          </cell>
          <cell r="L480">
            <v>4</v>
          </cell>
          <cell r="M480">
            <v>0.04</v>
          </cell>
          <cell r="N480">
            <v>5</v>
          </cell>
          <cell r="O480">
            <v>6650</v>
          </cell>
        </row>
        <row r="481">
          <cell r="B481" t="str">
            <v>Auxiliary EquipmentCondenser1800</v>
          </cell>
          <cell r="C481" t="str">
            <v>Auxiliary Equipment</v>
          </cell>
          <cell r="D481" t="str">
            <v>Condenser</v>
          </cell>
          <cell r="E481">
            <v>0</v>
          </cell>
          <cell r="F481">
            <v>1800</v>
          </cell>
          <cell r="I481">
            <v>7000</v>
          </cell>
          <cell r="J481">
            <v>20</v>
          </cell>
          <cell r="K481">
            <v>0.95</v>
          </cell>
          <cell r="L481">
            <v>4</v>
          </cell>
          <cell r="M481">
            <v>0.04</v>
          </cell>
          <cell r="N481">
            <v>5</v>
          </cell>
          <cell r="O481">
            <v>7000</v>
          </cell>
        </row>
        <row r="482">
          <cell r="B482" t="str">
            <v>Auxiliary EquipmentCondenser2400</v>
          </cell>
          <cell r="C482" t="str">
            <v>Auxiliary Equipment</v>
          </cell>
          <cell r="D482" t="str">
            <v>Condenser</v>
          </cell>
          <cell r="E482">
            <v>0</v>
          </cell>
          <cell r="F482">
            <v>2400</v>
          </cell>
          <cell r="I482">
            <v>8400</v>
          </cell>
          <cell r="J482">
            <v>20</v>
          </cell>
          <cell r="K482">
            <v>0.95</v>
          </cell>
          <cell r="L482">
            <v>4</v>
          </cell>
          <cell r="M482">
            <v>0.04</v>
          </cell>
          <cell r="N482">
            <v>5</v>
          </cell>
          <cell r="O482">
            <v>8400</v>
          </cell>
        </row>
        <row r="483">
          <cell r="B483" t="str">
            <v>Auxiliary EquipmentCondenser2700</v>
          </cell>
          <cell r="C483" t="str">
            <v>Auxiliary Equipment</v>
          </cell>
          <cell r="D483" t="str">
            <v>Condenser</v>
          </cell>
          <cell r="E483">
            <v>0</v>
          </cell>
          <cell r="F483">
            <v>2700</v>
          </cell>
          <cell r="I483">
            <v>9450</v>
          </cell>
          <cell r="J483">
            <v>20</v>
          </cell>
          <cell r="K483">
            <v>0.95</v>
          </cell>
          <cell r="L483">
            <v>4</v>
          </cell>
          <cell r="M483">
            <v>0.04</v>
          </cell>
          <cell r="N483">
            <v>5</v>
          </cell>
          <cell r="O483">
            <v>9450</v>
          </cell>
        </row>
        <row r="484">
          <cell r="B484" t="str">
            <v>Auxiliary EquipmentCondenser3000</v>
          </cell>
          <cell r="C484" t="str">
            <v>Auxiliary Equipment</v>
          </cell>
          <cell r="D484" t="str">
            <v>Condenser</v>
          </cell>
          <cell r="E484">
            <v>0</v>
          </cell>
          <cell r="F484">
            <v>3000</v>
          </cell>
          <cell r="I484">
            <v>10500</v>
          </cell>
          <cell r="J484">
            <v>20</v>
          </cell>
          <cell r="K484">
            <v>0.95</v>
          </cell>
          <cell r="L484">
            <v>4</v>
          </cell>
          <cell r="M484">
            <v>0.04</v>
          </cell>
          <cell r="N484">
            <v>5</v>
          </cell>
          <cell r="O484">
            <v>10500</v>
          </cell>
        </row>
        <row r="485">
          <cell r="B485" t="str">
            <v>Auxiliary EquipmentCondenser3600</v>
          </cell>
          <cell r="C485" t="str">
            <v>Auxiliary Equipment</v>
          </cell>
          <cell r="D485" t="str">
            <v>Condenser</v>
          </cell>
          <cell r="E485">
            <v>0</v>
          </cell>
          <cell r="F485">
            <v>3600</v>
          </cell>
          <cell r="I485">
            <v>12600</v>
          </cell>
          <cell r="J485">
            <v>20</v>
          </cell>
          <cell r="K485">
            <v>0.95</v>
          </cell>
          <cell r="L485">
            <v>4</v>
          </cell>
          <cell r="M485">
            <v>0.04</v>
          </cell>
          <cell r="N485">
            <v>5</v>
          </cell>
          <cell r="O485">
            <v>12600</v>
          </cell>
        </row>
        <row r="486">
          <cell r="B486" t="str">
            <v>Auxiliary EquipmentInventer0.6</v>
          </cell>
          <cell r="C486" t="str">
            <v>Auxiliary Equipment</v>
          </cell>
          <cell r="D486" t="str">
            <v>Inventer</v>
          </cell>
          <cell r="E486">
            <v>0</v>
          </cell>
          <cell r="F486">
            <v>0.6</v>
          </cell>
          <cell r="I486">
            <v>4000</v>
          </cell>
          <cell r="J486">
            <v>15</v>
          </cell>
          <cell r="K486">
            <v>0.95</v>
          </cell>
          <cell r="L486">
            <v>3</v>
          </cell>
          <cell r="M486">
            <v>0.04</v>
          </cell>
          <cell r="N486">
            <v>5</v>
          </cell>
          <cell r="O486">
            <v>4000</v>
          </cell>
        </row>
        <row r="487">
          <cell r="B487" t="str">
            <v>Auxiliary EquipmentInventer1</v>
          </cell>
          <cell r="C487" t="str">
            <v>Auxiliary Equipment</v>
          </cell>
          <cell r="D487" t="str">
            <v>Inventer</v>
          </cell>
          <cell r="E487">
            <v>0</v>
          </cell>
          <cell r="F487">
            <v>1</v>
          </cell>
          <cell r="I487">
            <v>4000</v>
          </cell>
          <cell r="J487">
            <v>15</v>
          </cell>
          <cell r="K487">
            <v>0.95</v>
          </cell>
          <cell r="L487">
            <v>3</v>
          </cell>
          <cell r="M487">
            <v>0.04</v>
          </cell>
          <cell r="N487">
            <v>5</v>
          </cell>
          <cell r="O487">
            <v>4000</v>
          </cell>
        </row>
        <row r="488">
          <cell r="B488" t="str">
            <v>Auxiliary EquipmentInventer2</v>
          </cell>
          <cell r="C488" t="str">
            <v>Auxiliary Equipment</v>
          </cell>
          <cell r="D488" t="str">
            <v>Inventer</v>
          </cell>
          <cell r="E488">
            <v>0</v>
          </cell>
          <cell r="F488">
            <v>2</v>
          </cell>
          <cell r="I488">
            <v>7000</v>
          </cell>
          <cell r="J488">
            <v>15</v>
          </cell>
          <cell r="K488">
            <v>0.95</v>
          </cell>
          <cell r="L488">
            <v>3</v>
          </cell>
          <cell r="M488">
            <v>0.04</v>
          </cell>
          <cell r="N488">
            <v>5</v>
          </cell>
          <cell r="O488">
            <v>7000</v>
          </cell>
        </row>
        <row r="489">
          <cell r="B489" t="str">
            <v>Auxiliary EquipmentInventer4</v>
          </cell>
          <cell r="C489" t="str">
            <v>Auxiliary Equipment</v>
          </cell>
          <cell r="D489" t="str">
            <v>Inventer</v>
          </cell>
          <cell r="E489">
            <v>0</v>
          </cell>
          <cell r="F489">
            <v>4</v>
          </cell>
          <cell r="I489">
            <v>9000</v>
          </cell>
          <cell r="J489">
            <v>15</v>
          </cell>
          <cell r="K489">
            <v>0.95</v>
          </cell>
          <cell r="L489">
            <v>3</v>
          </cell>
          <cell r="M489">
            <v>0.04</v>
          </cell>
          <cell r="N489">
            <v>5</v>
          </cell>
          <cell r="O489">
            <v>9000</v>
          </cell>
        </row>
        <row r="490">
          <cell r="B490" t="str">
            <v>Auxiliary EquipmentInventer6</v>
          </cell>
          <cell r="C490" t="str">
            <v>Auxiliary Equipment</v>
          </cell>
          <cell r="D490" t="str">
            <v>Inventer</v>
          </cell>
          <cell r="E490">
            <v>0</v>
          </cell>
          <cell r="F490">
            <v>6</v>
          </cell>
          <cell r="I490">
            <v>12500</v>
          </cell>
          <cell r="J490">
            <v>15</v>
          </cell>
          <cell r="K490">
            <v>0.95</v>
          </cell>
          <cell r="L490">
            <v>3</v>
          </cell>
          <cell r="M490">
            <v>0.04</v>
          </cell>
          <cell r="N490">
            <v>5</v>
          </cell>
          <cell r="O490">
            <v>12500</v>
          </cell>
        </row>
        <row r="491">
          <cell r="B491" t="str">
            <v>Auxiliary EquipmentInventer10</v>
          </cell>
          <cell r="C491" t="str">
            <v>Auxiliary Equipment</v>
          </cell>
          <cell r="D491" t="str">
            <v>Inventer</v>
          </cell>
          <cell r="E491">
            <v>0</v>
          </cell>
          <cell r="F491">
            <v>10</v>
          </cell>
          <cell r="I491">
            <v>16000</v>
          </cell>
          <cell r="J491">
            <v>15</v>
          </cell>
          <cell r="K491">
            <v>0.95</v>
          </cell>
          <cell r="L491">
            <v>3</v>
          </cell>
          <cell r="M491">
            <v>0.04</v>
          </cell>
          <cell r="N491">
            <v>5</v>
          </cell>
          <cell r="O491">
            <v>16000</v>
          </cell>
        </row>
        <row r="492">
          <cell r="B492" t="str">
            <v>Auxiliary EquipmentInventer20</v>
          </cell>
          <cell r="C492" t="str">
            <v>Auxiliary Equipment</v>
          </cell>
          <cell r="D492" t="str">
            <v>Inventer</v>
          </cell>
          <cell r="E492">
            <v>0</v>
          </cell>
          <cell r="F492">
            <v>20</v>
          </cell>
          <cell r="I492">
            <v>26000</v>
          </cell>
          <cell r="J492">
            <v>15</v>
          </cell>
          <cell r="K492">
            <v>0.95</v>
          </cell>
          <cell r="L492">
            <v>3</v>
          </cell>
          <cell r="M492">
            <v>0.04</v>
          </cell>
          <cell r="N492">
            <v>5</v>
          </cell>
          <cell r="O492">
            <v>26000</v>
          </cell>
        </row>
        <row r="493">
          <cell r="B493" t="str">
            <v>Auxiliary EquipmentNull point10</v>
          </cell>
          <cell r="C493" t="str">
            <v>Auxiliary Equipment</v>
          </cell>
          <cell r="D493" t="str">
            <v>Null point</v>
          </cell>
          <cell r="E493">
            <v>0</v>
          </cell>
          <cell r="F493">
            <v>10</v>
          </cell>
          <cell r="I493">
            <v>1200</v>
          </cell>
          <cell r="J493">
            <v>30</v>
          </cell>
          <cell r="K493">
            <v>0.95</v>
          </cell>
          <cell r="L493">
            <v>7</v>
          </cell>
          <cell r="M493">
            <v>0.04</v>
          </cell>
          <cell r="N493">
            <v>5</v>
          </cell>
          <cell r="O493">
            <v>1200</v>
          </cell>
        </row>
        <row r="494">
          <cell r="B494" t="str">
            <v>Auxiliary EquipmentNull point40</v>
          </cell>
          <cell r="C494" t="str">
            <v>Auxiliary Equipment</v>
          </cell>
          <cell r="D494" t="str">
            <v>Null point</v>
          </cell>
          <cell r="E494">
            <v>0</v>
          </cell>
          <cell r="F494">
            <v>40</v>
          </cell>
          <cell r="I494">
            <v>2250</v>
          </cell>
          <cell r="J494">
            <v>30</v>
          </cell>
          <cell r="K494">
            <v>0.95</v>
          </cell>
          <cell r="L494">
            <v>7</v>
          </cell>
          <cell r="M494">
            <v>0.04</v>
          </cell>
          <cell r="N494">
            <v>5</v>
          </cell>
          <cell r="O494">
            <v>2250</v>
          </cell>
        </row>
        <row r="495">
          <cell r="B495" t="str">
            <v>Auxiliary EquipmentNull point50</v>
          </cell>
          <cell r="C495" t="str">
            <v>Auxiliary Equipment</v>
          </cell>
          <cell r="D495" t="str">
            <v>Null point</v>
          </cell>
          <cell r="E495">
            <v>0</v>
          </cell>
          <cell r="F495">
            <v>50</v>
          </cell>
          <cell r="I495">
            <v>2625</v>
          </cell>
          <cell r="J495">
            <v>30</v>
          </cell>
          <cell r="K495">
            <v>0.95</v>
          </cell>
          <cell r="L495">
            <v>7</v>
          </cell>
          <cell r="M495">
            <v>0.04</v>
          </cell>
          <cell r="N495">
            <v>5</v>
          </cell>
          <cell r="O495">
            <v>2625</v>
          </cell>
        </row>
        <row r="496">
          <cell r="B496" t="str">
            <v>Auxiliary EquipmentNull point87</v>
          </cell>
          <cell r="C496" t="str">
            <v>Auxiliary Equipment</v>
          </cell>
          <cell r="D496" t="str">
            <v>Null point</v>
          </cell>
          <cell r="E496">
            <v>0</v>
          </cell>
          <cell r="F496">
            <v>87</v>
          </cell>
          <cell r="I496">
            <v>2800</v>
          </cell>
          <cell r="J496">
            <v>30</v>
          </cell>
          <cell r="K496">
            <v>0.95</v>
          </cell>
          <cell r="L496">
            <v>7</v>
          </cell>
          <cell r="M496">
            <v>0.04</v>
          </cell>
          <cell r="N496">
            <v>5</v>
          </cell>
          <cell r="O496">
            <v>2800</v>
          </cell>
        </row>
        <row r="497">
          <cell r="B497" t="str">
            <v>Auxiliary EquipmentNull point100</v>
          </cell>
          <cell r="C497" t="str">
            <v>Auxiliary Equipment</v>
          </cell>
          <cell r="D497" t="str">
            <v>Null point</v>
          </cell>
          <cell r="E497">
            <v>0</v>
          </cell>
          <cell r="F497">
            <v>100</v>
          </cell>
          <cell r="I497">
            <v>3000</v>
          </cell>
          <cell r="J497">
            <v>30</v>
          </cell>
          <cell r="K497">
            <v>0.95</v>
          </cell>
          <cell r="L497">
            <v>7</v>
          </cell>
          <cell r="M497">
            <v>0.04</v>
          </cell>
          <cell r="N497">
            <v>5</v>
          </cell>
          <cell r="O497">
            <v>3000</v>
          </cell>
        </row>
        <row r="498">
          <cell r="B498" t="str">
            <v>Auxiliary EquipmentNull point120</v>
          </cell>
          <cell r="C498" t="str">
            <v>Auxiliary Equipment</v>
          </cell>
          <cell r="D498" t="str">
            <v>Null point</v>
          </cell>
          <cell r="E498">
            <v>0</v>
          </cell>
          <cell r="F498">
            <v>120</v>
          </cell>
          <cell r="I498">
            <v>3200</v>
          </cell>
          <cell r="J498">
            <v>30</v>
          </cell>
          <cell r="K498">
            <v>0.95</v>
          </cell>
          <cell r="L498">
            <v>7</v>
          </cell>
          <cell r="M498">
            <v>0.04</v>
          </cell>
          <cell r="N498">
            <v>5</v>
          </cell>
          <cell r="O498">
            <v>3200</v>
          </cell>
        </row>
        <row r="499">
          <cell r="B499" t="str">
            <v>Auxiliary EquipmentNull point300</v>
          </cell>
          <cell r="C499" t="str">
            <v>Auxiliary Equipment</v>
          </cell>
          <cell r="D499" t="str">
            <v>Null point</v>
          </cell>
          <cell r="E499">
            <v>0</v>
          </cell>
          <cell r="F499">
            <v>300</v>
          </cell>
          <cell r="I499">
            <v>6000</v>
          </cell>
          <cell r="J499">
            <v>30</v>
          </cell>
          <cell r="K499">
            <v>0.95</v>
          </cell>
          <cell r="L499">
            <v>7</v>
          </cell>
          <cell r="M499">
            <v>0.04</v>
          </cell>
          <cell r="N499">
            <v>5</v>
          </cell>
          <cell r="O499">
            <v>6000</v>
          </cell>
        </row>
        <row r="500">
          <cell r="B500" t="str">
            <v>Auxiliary EquipmentNull point600</v>
          </cell>
          <cell r="C500" t="str">
            <v>Auxiliary Equipment</v>
          </cell>
          <cell r="D500" t="str">
            <v>Null point</v>
          </cell>
          <cell r="E500">
            <v>0</v>
          </cell>
          <cell r="F500">
            <v>600</v>
          </cell>
          <cell r="I500">
            <v>8625</v>
          </cell>
          <cell r="J500">
            <v>30</v>
          </cell>
          <cell r="K500">
            <v>0.95</v>
          </cell>
          <cell r="L500">
            <v>7</v>
          </cell>
          <cell r="M500">
            <v>0.04</v>
          </cell>
          <cell r="N500">
            <v>5</v>
          </cell>
          <cell r="O500">
            <v>8625</v>
          </cell>
        </row>
        <row r="501">
          <cell r="B501" t="str">
            <v>Auxiliary EquipmentNull point1000</v>
          </cell>
          <cell r="C501" t="str">
            <v>Auxiliary Equipment</v>
          </cell>
          <cell r="D501" t="str">
            <v>Null point</v>
          </cell>
          <cell r="E501">
            <v>0</v>
          </cell>
          <cell r="F501">
            <v>1000</v>
          </cell>
          <cell r="I501">
            <v>12000</v>
          </cell>
          <cell r="J501">
            <v>30</v>
          </cell>
          <cell r="K501">
            <v>0.95</v>
          </cell>
          <cell r="L501">
            <v>7</v>
          </cell>
          <cell r="M501">
            <v>0.04</v>
          </cell>
          <cell r="N501">
            <v>5</v>
          </cell>
          <cell r="O501">
            <v>12000</v>
          </cell>
        </row>
        <row r="502">
          <cell r="B502" t="str">
            <v>Auxiliary EquipmentNull point1200</v>
          </cell>
          <cell r="C502" t="str">
            <v>Auxiliary Equipment</v>
          </cell>
          <cell r="D502" t="str">
            <v>Null point</v>
          </cell>
          <cell r="E502">
            <v>0</v>
          </cell>
          <cell r="F502">
            <v>1200</v>
          </cell>
          <cell r="I502">
            <v>14250</v>
          </cell>
          <cell r="J502">
            <v>30</v>
          </cell>
          <cell r="K502">
            <v>0.95</v>
          </cell>
          <cell r="L502">
            <v>7</v>
          </cell>
          <cell r="M502">
            <v>0.04</v>
          </cell>
          <cell r="N502">
            <v>5</v>
          </cell>
          <cell r="O502">
            <v>14250</v>
          </cell>
        </row>
        <row r="503">
          <cell r="B503" t="str">
            <v>Auxiliary EquipmentNull point25000</v>
          </cell>
          <cell r="C503" t="str">
            <v>Auxiliary Equipment</v>
          </cell>
          <cell r="D503" t="str">
            <v>Null point</v>
          </cell>
          <cell r="E503">
            <v>0</v>
          </cell>
          <cell r="F503">
            <v>25000</v>
          </cell>
          <cell r="I503">
            <v>200000</v>
          </cell>
          <cell r="J503">
            <v>30</v>
          </cell>
          <cell r="K503">
            <v>0.95</v>
          </cell>
          <cell r="L503">
            <v>7</v>
          </cell>
          <cell r="M503">
            <v>0.04</v>
          </cell>
          <cell r="N503">
            <v>5</v>
          </cell>
          <cell r="O503">
            <v>200000</v>
          </cell>
        </row>
        <row r="504">
          <cell r="B504" t="str">
            <v>Auxiliary EquipmentNull point10/120</v>
          </cell>
          <cell r="C504" t="str">
            <v>Auxiliary Equipment</v>
          </cell>
          <cell r="D504" t="str">
            <v>Null point</v>
          </cell>
          <cell r="E504">
            <v>0</v>
          </cell>
          <cell r="F504" t="str">
            <v>10/120</v>
          </cell>
          <cell r="I504">
            <v>3200</v>
          </cell>
          <cell r="J504">
            <v>30</v>
          </cell>
          <cell r="K504">
            <v>0.95</v>
          </cell>
          <cell r="L504">
            <v>7</v>
          </cell>
          <cell r="M504">
            <v>0.04</v>
          </cell>
          <cell r="N504">
            <v>5</v>
          </cell>
          <cell r="O504">
            <v>3200</v>
          </cell>
        </row>
        <row r="505">
          <cell r="B505" t="str">
            <v>Auxiliary EquipmentNull point10/30</v>
          </cell>
          <cell r="C505" t="str">
            <v>Auxiliary Equipment</v>
          </cell>
          <cell r="D505" t="str">
            <v>Null point</v>
          </cell>
          <cell r="E505">
            <v>0</v>
          </cell>
          <cell r="F505" t="str">
            <v>10/30</v>
          </cell>
          <cell r="I505">
            <v>2250</v>
          </cell>
          <cell r="J505">
            <v>30</v>
          </cell>
          <cell r="K505">
            <v>0.95</v>
          </cell>
          <cell r="L505">
            <v>7</v>
          </cell>
          <cell r="M505">
            <v>0.04</v>
          </cell>
          <cell r="N505">
            <v>5</v>
          </cell>
          <cell r="O505">
            <v>2250</v>
          </cell>
        </row>
        <row r="506">
          <cell r="B506" t="str">
            <v>Auxiliary EquipmentNull point10/50</v>
          </cell>
          <cell r="C506" t="str">
            <v>Auxiliary Equipment</v>
          </cell>
          <cell r="D506" t="str">
            <v>Null point</v>
          </cell>
          <cell r="E506">
            <v>0</v>
          </cell>
          <cell r="F506" t="str">
            <v>10/50</v>
          </cell>
          <cell r="I506">
            <v>2625</v>
          </cell>
          <cell r="J506">
            <v>30</v>
          </cell>
          <cell r="K506">
            <v>0.95</v>
          </cell>
          <cell r="L506">
            <v>7</v>
          </cell>
          <cell r="M506">
            <v>0.04</v>
          </cell>
          <cell r="N506">
            <v>5</v>
          </cell>
          <cell r="O506">
            <v>2625</v>
          </cell>
        </row>
        <row r="507">
          <cell r="B507" t="str">
            <v>Auxiliary EquipmentNull point20/165</v>
          </cell>
          <cell r="C507" t="str">
            <v>Auxiliary Equipment</v>
          </cell>
          <cell r="D507" t="str">
            <v>Null point</v>
          </cell>
          <cell r="E507">
            <v>0</v>
          </cell>
          <cell r="F507" t="str">
            <v>20/165</v>
          </cell>
          <cell r="I507">
            <v>3750</v>
          </cell>
          <cell r="J507">
            <v>30</v>
          </cell>
          <cell r="K507">
            <v>0.95</v>
          </cell>
          <cell r="L507">
            <v>7</v>
          </cell>
          <cell r="M507">
            <v>0.04</v>
          </cell>
          <cell r="N507">
            <v>5</v>
          </cell>
          <cell r="O507">
            <v>3750</v>
          </cell>
        </row>
        <row r="508">
          <cell r="B508" t="str">
            <v>Auxiliary EquipmentNull point300/600</v>
          </cell>
          <cell r="C508" t="str">
            <v>Auxiliary Equipment</v>
          </cell>
          <cell r="D508" t="str">
            <v>Null point</v>
          </cell>
          <cell r="E508">
            <v>0</v>
          </cell>
          <cell r="F508" t="str">
            <v>300/600</v>
          </cell>
          <cell r="I508">
            <v>8625</v>
          </cell>
          <cell r="J508">
            <v>30</v>
          </cell>
          <cell r="K508">
            <v>0.95</v>
          </cell>
          <cell r="L508">
            <v>7</v>
          </cell>
          <cell r="M508">
            <v>0.04</v>
          </cell>
          <cell r="N508">
            <v>5</v>
          </cell>
          <cell r="O508">
            <v>8625</v>
          </cell>
        </row>
        <row r="509">
          <cell r="B509" t="str">
            <v>Auxiliary EquipmentNull point630/300</v>
          </cell>
          <cell r="C509" t="str">
            <v>Auxiliary Equipment</v>
          </cell>
          <cell r="D509" t="str">
            <v>Null point</v>
          </cell>
          <cell r="E509">
            <v>0</v>
          </cell>
          <cell r="F509" t="str">
            <v>630/300</v>
          </cell>
          <cell r="I509">
            <v>8625</v>
          </cell>
          <cell r="J509">
            <v>30</v>
          </cell>
          <cell r="K509">
            <v>0.95</v>
          </cell>
          <cell r="L509">
            <v>7</v>
          </cell>
          <cell r="M509">
            <v>0.04</v>
          </cell>
          <cell r="N509">
            <v>5</v>
          </cell>
          <cell r="O509">
            <v>8625</v>
          </cell>
        </row>
        <row r="510">
          <cell r="B510" t="str">
            <v>Auxiliary EquipmentNull point</v>
          </cell>
          <cell r="C510" t="str">
            <v>Auxiliary Equipment</v>
          </cell>
          <cell r="D510" t="str">
            <v>Null point</v>
          </cell>
          <cell r="E510">
            <v>0</v>
          </cell>
          <cell r="F510">
            <v>0</v>
          </cell>
          <cell r="I510">
            <v>10000</v>
          </cell>
          <cell r="J510">
            <v>30</v>
          </cell>
          <cell r="K510">
            <v>0.95</v>
          </cell>
          <cell r="L510">
            <v>7</v>
          </cell>
          <cell r="M510">
            <v>0.04</v>
          </cell>
          <cell r="N510">
            <v>5</v>
          </cell>
          <cell r="O510">
            <v>10000</v>
          </cell>
        </row>
        <row r="511">
          <cell r="B511" t="str">
            <v>Auxiliary EquipmentRectifier8</v>
          </cell>
          <cell r="C511" t="str">
            <v>Auxiliary Equipment</v>
          </cell>
          <cell r="D511" t="str">
            <v>Rectifier</v>
          </cell>
          <cell r="E511">
            <v>0</v>
          </cell>
          <cell r="F511">
            <v>8</v>
          </cell>
          <cell r="I511">
            <v>1900</v>
          </cell>
          <cell r="J511">
            <v>15</v>
          </cell>
          <cell r="K511">
            <v>0.95</v>
          </cell>
          <cell r="L511">
            <v>3</v>
          </cell>
          <cell r="M511">
            <v>0.04</v>
          </cell>
          <cell r="N511">
            <v>5</v>
          </cell>
          <cell r="O511">
            <v>1900</v>
          </cell>
        </row>
        <row r="512">
          <cell r="B512" t="str">
            <v>Auxiliary EquipmentRectifier9</v>
          </cell>
          <cell r="C512" t="str">
            <v>Auxiliary Equipment</v>
          </cell>
          <cell r="D512" t="str">
            <v>Rectifier</v>
          </cell>
          <cell r="E512">
            <v>0</v>
          </cell>
          <cell r="F512">
            <v>9</v>
          </cell>
          <cell r="I512">
            <v>1900</v>
          </cell>
          <cell r="J512">
            <v>15</v>
          </cell>
          <cell r="K512">
            <v>0.95</v>
          </cell>
          <cell r="L512">
            <v>3</v>
          </cell>
          <cell r="M512">
            <v>0.04</v>
          </cell>
          <cell r="N512">
            <v>5</v>
          </cell>
          <cell r="O512">
            <v>1900</v>
          </cell>
        </row>
        <row r="513">
          <cell r="B513" t="str">
            <v>Auxiliary EquipmentRectifier10</v>
          </cell>
          <cell r="C513" t="str">
            <v>Auxiliary Equipment</v>
          </cell>
          <cell r="D513" t="str">
            <v>Rectifier</v>
          </cell>
          <cell r="E513">
            <v>0</v>
          </cell>
          <cell r="F513">
            <v>10</v>
          </cell>
          <cell r="I513">
            <v>1900</v>
          </cell>
          <cell r="J513">
            <v>15</v>
          </cell>
          <cell r="K513">
            <v>0.95</v>
          </cell>
          <cell r="L513">
            <v>3</v>
          </cell>
          <cell r="M513">
            <v>0.04</v>
          </cell>
          <cell r="N513">
            <v>5</v>
          </cell>
          <cell r="O513">
            <v>1900</v>
          </cell>
        </row>
        <row r="514">
          <cell r="B514" t="str">
            <v>Auxiliary EquipmentRectifier15</v>
          </cell>
          <cell r="C514" t="str">
            <v>Auxiliary Equipment</v>
          </cell>
          <cell r="D514" t="str">
            <v>Rectifier</v>
          </cell>
          <cell r="E514">
            <v>0</v>
          </cell>
          <cell r="F514">
            <v>15</v>
          </cell>
          <cell r="I514">
            <v>2500</v>
          </cell>
          <cell r="J514">
            <v>15</v>
          </cell>
          <cell r="K514">
            <v>0.95</v>
          </cell>
          <cell r="L514">
            <v>3</v>
          </cell>
          <cell r="M514">
            <v>0.04</v>
          </cell>
          <cell r="N514">
            <v>5</v>
          </cell>
          <cell r="O514">
            <v>2500</v>
          </cell>
        </row>
        <row r="515">
          <cell r="B515" t="str">
            <v>Auxiliary EquipmentRectifier20</v>
          </cell>
          <cell r="C515" t="str">
            <v>Auxiliary Equipment</v>
          </cell>
          <cell r="D515" t="str">
            <v>Rectifier</v>
          </cell>
          <cell r="E515">
            <v>0</v>
          </cell>
          <cell r="F515">
            <v>20</v>
          </cell>
          <cell r="I515">
            <v>3500</v>
          </cell>
          <cell r="J515">
            <v>15</v>
          </cell>
          <cell r="K515">
            <v>0.95</v>
          </cell>
          <cell r="L515">
            <v>3</v>
          </cell>
          <cell r="M515">
            <v>0.04</v>
          </cell>
          <cell r="N515">
            <v>5</v>
          </cell>
          <cell r="O515">
            <v>3500</v>
          </cell>
        </row>
        <row r="516">
          <cell r="B516" t="str">
            <v>Auxiliary EquipmentRectifier25</v>
          </cell>
          <cell r="C516" t="str">
            <v>Auxiliary Equipment</v>
          </cell>
          <cell r="D516" t="str">
            <v>Rectifier</v>
          </cell>
          <cell r="E516">
            <v>0</v>
          </cell>
          <cell r="F516">
            <v>25</v>
          </cell>
          <cell r="I516">
            <v>4600</v>
          </cell>
          <cell r="J516">
            <v>15</v>
          </cell>
          <cell r="K516">
            <v>0.95</v>
          </cell>
          <cell r="L516">
            <v>3</v>
          </cell>
          <cell r="M516">
            <v>0.04</v>
          </cell>
          <cell r="N516">
            <v>5</v>
          </cell>
          <cell r="O516">
            <v>4600</v>
          </cell>
        </row>
        <row r="517">
          <cell r="B517" t="str">
            <v>Auxiliary EquipmentRectifier30</v>
          </cell>
          <cell r="C517" t="str">
            <v>Auxiliary Equipment</v>
          </cell>
          <cell r="D517" t="str">
            <v>Rectifier</v>
          </cell>
          <cell r="E517">
            <v>0</v>
          </cell>
          <cell r="F517">
            <v>30</v>
          </cell>
          <cell r="I517">
            <v>5400</v>
          </cell>
          <cell r="J517">
            <v>15</v>
          </cell>
          <cell r="K517">
            <v>0.95</v>
          </cell>
          <cell r="L517">
            <v>3</v>
          </cell>
          <cell r="M517">
            <v>0.04</v>
          </cell>
          <cell r="N517">
            <v>5</v>
          </cell>
          <cell r="O517">
            <v>5400</v>
          </cell>
        </row>
        <row r="518">
          <cell r="B518" t="str">
            <v>Auxiliary EquipmentRectifier32</v>
          </cell>
          <cell r="C518" t="str">
            <v>Auxiliary Equipment</v>
          </cell>
          <cell r="D518" t="str">
            <v>Rectifier</v>
          </cell>
          <cell r="E518">
            <v>0</v>
          </cell>
          <cell r="F518">
            <v>32</v>
          </cell>
          <cell r="I518">
            <v>5500</v>
          </cell>
          <cell r="J518">
            <v>15</v>
          </cell>
          <cell r="K518">
            <v>0.95</v>
          </cell>
          <cell r="L518">
            <v>3</v>
          </cell>
          <cell r="M518">
            <v>0.04</v>
          </cell>
          <cell r="N518">
            <v>5</v>
          </cell>
          <cell r="O518">
            <v>5500</v>
          </cell>
        </row>
        <row r="519">
          <cell r="B519" t="str">
            <v>Auxiliary EquipmentRectifier40</v>
          </cell>
          <cell r="C519" t="str">
            <v>Auxiliary Equipment</v>
          </cell>
          <cell r="D519" t="str">
            <v>Rectifier</v>
          </cell>
          <cell r="E519">
            <v>0</v>
          </cell>
          <cell r="F519">
            <v>40</v>
          </cell>
          <cell r="I519">
            <v>6500</v>
          </cell>
          <cell r="J519">
            <v>15</v>
          </cell>
          <cell r="K519">
            <v>0.95</v>
          </cell>
          <cell r="L519">
            <v>3</v>
          </cell>
          <cell r="M519">
            <v>0.04</v>
          </cell>
          <cell r="N519">
            <v>5</v>
          </cell>
          <cell r="O519">
            <v>6500</v>
          </cell>
        </row>
        <row r="520">
          <cell r="B520" t="str">
            <v>Auxiliary EquipmentRectifier48</v>
          </cell>
          <cell r="C520" t="str">
            <v>Auxiliary Equipment</v>
          </cell>
          <cell r="D520" t="str">
            <v>Rectifier</v>
          </cell>
          <cell r="E520">
            <v>0</v>
          </cell>
          <cell r="F520">
            <v>48</v>
          </cell>
          <cell r="I520">
            <v>8000</v>
          </cell>
          <cell r="J520">
            <v>15</v>
          </cell>
          <cell r="K520">
            <v>0.95</v>
          </cell>
          <cell r="L520">
            <v>3</v>
          </cell>
          <cell r="M520">
            <v>0.04</v>
          </cell>
          <cell r="N520">
            <v>5</v>
          </cell>
          <cell r="O520">
            <v>8000</v>
          </cell>
        </row>
        <row r="521">
          <cell r="B521" t="str">
            <v>Auxiliary EquipmentRectifier50</v>
          </cell>
          <cell r="C521" t="str">
            <v>Auxiliary Equipment</v>
          </cell>
          <cell r="D521" t="str">
            <v>Rectifier</v>
          </cell>
          <cell r="E521">
            <v>0</v>
          </cell>
          <cell r="F521">
            <v>50</v>
          </cell>
          <cell r="I521">
            <v>8250</v>
          </cell>
          <cell r="J521">
            <v>15</v>
          </cell>
          <cell r="K521">
            <v>0.95</v>
          </cell>
          <cell r="L521">
            <v>3</v>
          </cell>
          <cell r="M521">
            <v>0.04</v>
          </cell>
          <cell r="N521">
            <v>5</v>
          </cell>
          <cell r="O521">
            <v>8250</v>
          </cell>
        </row>
        <row r="522">
          <cell r="B522" t="str">
            <v>Auxiliary EquipmentRectifier63</v>
          </cell>
          <cell r="C522" t="str">
            <v>Auxiliary Equipment</v>
          </cell>
          <cell r="D522" t="str">
            <v>Rectifier</v>
          </cell>
          <cell r="E522">
            <v>0</v>
          </cell>
          <cell r="F522">
            <v>63</v>
          </cell>
          <cell r="I522">
            <v>9600</v>
          </cell>
          <cell r="J522">
            <v>15</v>
          </cell>
          <cell r="K522">
            <v>0.95</v>
          </cell>
          <cell r="L522">
            <v>3</v>
          </cell>
          <cell r="M522">
            <v>0.04</v>
          </cell>
          <cell r="N522">
            <v>5</v>
          </cell>
          <cell r="O522">
            <v>9600</v>
          </cell>
        </row>
        <row r="523">
          <cell r="B523" t="str">
            <v>Auxiliary EquipmentRectifier65</v>
          </cell>
          <cell r="C523" t="str">
            <v>Auxiliary Equipment</v>
          </cell>
          <cell r="D523" t="str">
            <v>Rectifier</v>
          </cell>
          <cell r="E523">
            <v>0</v>
          </cell>
          <cell r="F523">
            <v>65</v>
          </cell>
          <cell r="I523">
            <v>10000</v>
          </cell>
          <cell r="J523">
            <v>15</v>
          </cell>
          <cell r="K523">
            <v>0.95</v>
          </cell>
          <cell r="L523">
            <v>3</v>
          </cell>
          <cell r="M523">
            <v>0.04</v>
          </cell>
          <cell r="N523">
            <v>5</v>
          </cell>
          <cell r="O523">
            <v>10000</v>
          </cell>
        </row>
        <row r="524">
          <cell r="B524" t="str">
            <v>Auxiliary EquipmentRectifier100</v>
          </cell>
          <cell r="C524" t="str">
            <v>Auxiliary Equipment</v>
          </cell>
          <cell r="D524" t="str">
            <v>Rectifier</v>
          </cell>
          <cell r="E524">
            <v>0</v>
          </cell>
          <cell r="F524">
            <v>100</v>
          </cell>
          <cell r="I524">
            <v>14000</v>
          </cell>
          <cell r="J524">
            <v>15</v>
          </cell>
          <cell r="K524">
            <v>0.95</v>
          </cell>
          <cell r="L524">
            <v>3</v>
          </cell>
          <cell r="M524">
            <v>0.04</v>
          </cell>
          <cell r="N524">
            <v>5</v>
          </cell>
          <cell r="O524">
            <v>14000</v>
          </cell>
        </row>
        <row r="525">
          <cell r="B525" t="str">
            <v>Auxiliary EquipmentRectifier30/8</v>
          </cell>
          <cell r="C525" t="str">
            <v>Auxiliary Equipment</v>
          </cell>
          <cell r="D525" t="str">
            <v>Rectifier</v>
          </cell>
          <cell r="E525">
            <v>0</v>
          </cell>
          <cell r="F525" t="str">
            <v>30/8</v>
          </cell>
          <cell r="I525">
            <v>5400</v>
          </cell>
          <cell r="J525">
            <v>15</v>
          </cell>
          <cell r="K525">
            <v>0.95</v>
          </cell>
          <cell r="L525">
            <v>3</v>
          </cell>
          <cell r="M525">
            <v>0.04</v>
          </cell>
          <cell r="N525">
            <v>5</v>
          </cell>
          <cell r="O525">
            <v>5400</v>
          </cell>
        </row>
        <row r="526">
          <cell r="B526" t="str">
            <v>Auxiliary EquipmentTransformer40</v>
          </cell>
          <cell r="C526" t="str">
            <v>Auxiliary Equipment</v>
          </cell>
          <cell r="D526" t="str">
            <v>Transformer</v>
          </cell>
          <cell r="E526">
            <v>0</v>
          </cell>
          <cell r="F526">
            <v>40</v>
          </cell>
          <cell r="I526">
            <v>3000</v>
          </cell>
          <cell r="J526">
            <v>25</v>
          </cell>
          <cell r="K526">
            <v>0.95</v>
          </cell>
          <cell r="L526">
            <v>5</v>
          </cell>
          <cell r="M526">
            <v>0.04</v>
          </cell>
          <cell r="N526">
            <v>5</v>
          </cell>
          <cell r="O526">
            <v>3000</v>
          </cell>
        </row>
        <row r="527">
          <cell r="B527" t="str">
            <v>Auxiliary EquipmentTransformer50</v>
          </cell>
          <cell r="C527" t="str">
            <v>Auxiliary Equipment</v>
          </cell>
          <cell r="D527" t="str">
            <v>Transformer</v>
          </cell>
          <cell r="E527">
            <v>0</v>
          </cell>
          <cell r="F527">
            <v>50</v>
          </cell>
          <cell r="I527">
            <v>3500</v>
          </cell>
          <cell r="J527">
            <v>25</v>
          </cell>
          <cell r="K527">
            <v>0.95</v>
          </cell>
          <cell r="L527">
            <v>5</v>
          </cell>
          <cell r="M527">
            <v>0.04</v>
          </cell>
          <cell r="N527">
            <v>5</v>
          </cell>
          <cell r="O527">
            <v>3500</v>
          </cell>
        </row>
        <row r="528">
          <cell r="B528" t="str">
            <v>Auxiliary EquipmentTransformer63</v>
          </cell>
          <cell r="C528" t="str">
            <v>Auxiliary Equipment</v>
          </cell>
          <cell r="D528" t="str">
            <v>Transformer</v>
          </cell>
          <cell r="E528">
            <v>0</v>
          </cell>
          <cell r="F528">
            <v>63</v>
          </cell>
          <cell r="I528">
            <v>3700</v>
          </cell>
          <cell r="J528">
            <v>25</v>
          </cell>
          <cell r="K528">
            <v>0.95</v>
          </cell>
          <cell r="L528">
            <v>5</v>
          </cell>
          <cell r="M528">
            <v>0.04</v>
          </cell>
          <cell r="N528">
            <v>5</v>
          </cell>
          <cell r="O528">
            <v>3700</v>
          </cell>
        </row>
        <row r="529">
          <cell r="B529" t="str">
            <v>Auxiliary EquipmentTransformer100</v>
          </cell>
          <cell r="C529" t="str">
            <v>Auxiliary Equipment</v>
          </cell>
          <cell r="D529" t="str">
            <v>Transformer</v>
          </cell>
          <cell r="E529">
            <v>0</v>
          </cell>
          <cell r="F529">
            <v>100</v>
          </cell>
          <cell r="I529">
            <v>4000</v>
          </cell>
          <cell r="J529">
            <v>25</v>
          </cell>
          <cell r="K529">
            <v>0.95</v>
          </cell>
          <cell r="L529">
            <v>5</v>
          </cell>
          <cell r="M529">
            <v>0.04</v>
          </cell>
          <cell r="N529">
            <v>5</v>
          </cell>
          <cell r="O529">
            <v>4000</v>
          </cell>
        </row>
        <row r="530">
          <cell r="B530" t="str">
            <v>Auxiliary EquipmentTransformer130</v>
          </cell>
          <cell r="C530" t="str">
            <v>Auxiliary Equipment</v>
          </cell>
          <cell r="D530" t="str">
            <v>Transformer</v>
          </cell>
          <cell r="E530">
            <v>0</v>
          </cell>
          <cell r="F530">
            <v>130</v>
          </cell>
          <cell r="I530">
            <v>4500</v>
          </cell>
          <cell r="J530">
            <v>25</v>
          </cell>
          <cell r="K530">
            <v>0.95</v>
          </cell>
          <cell r="L530">
            <v>5</v>
          </cell>
          <cell r="M530">
            <v>0.04</v>
          </cell>
          <cell r="N530">
            <v>5</v>
          </cell>
          <cell r="O530">
            <v>4500</v>
          </cell>
        </row>
        <row r="531">
          <cell r="B531" t="str">
            <v>Auxiliary EquipmentTransformer160</v>
          </cell>
          <cell r="C531" t="str">
            <v>Auxiliary Equipment</v>
          </cell>
          <cell r="D531" t="str">
            <v>Transformer</v>
          </cell>
          <cell r="E531">
            <v>0</v>
          </cell>
          <cell r="F531">
            <v>160</v>
          </cell>
          <cell r="I531">
            <v>5000</v>
          </cell>
          <cell r="J531">
            <v>25</v>
          </cell>
          <cell r="K531">
            <v>0.95</v>
          </cell>
          <cell r="L531">
            <v>5</v>
          </cell>
          <cell r="M531">
            <v>0.04</v>
          </cell>
          <cell r="N531">
            <v>5</v>
          </cell>
          <cell r="O531">
            <v>5000</v>
          </cell>
        </row>
        <row r="532">
          <cell r="B532" t="str">
            <v>Auxiliary EquipmentTransformer180</v>
          </cell>
          <cell r="C532" t="str">
            <v>Auxiliary Equipment</v>
          </cell>
          <cell r="D532" t="str">
            <v>Transformer</v>
          </cell>
          <cell r="E532">
            <v>0</v>
          </cell>
          <cell r="F532">
            <v>180</v>
          </cell>
          <cell r="I532">
            <v>5500</v>
          </cell>
          <cell r="J532">
            <v>25</v>
          </cell>
          <cell r="K532">
            <v>0.95</v>
          </cell>
          <cell r="L532">
            <v>5</v>
          </cell>
          <cell r="M532">
            <v>0.04</v>
          </cell>
          <cell r="N532">
            <v>5</v>
          </cell>
          <cell r="O532">
            <v>5500</v>
          </cell>
        </row>
        <row r="533">
          <cell r="B533" t="str">
            <v>Auxiliary EquipmentTransformer200</v>
          </cell>
          <cell r="C533" t="str">
            <v>Auxiliary Equipment</v>
          </cell>
          <cell r="D533" t="str">
            <v>Transformer</v>
          </cell>
          <cell r="E533">
            <v>0</v>
          </cell>
          <cell r="F533">
            <v>200</v>
          </cell>
          <cell r="I533">
            <v>6000</v>
          </cell>
          <cell r="J533">
            <v>25</v>
          </cell>
          <cell r="K533">
            <v>0.95</v>
          </cell>
          <cell r="L533">
            <v>5</v>
          </cell>
          <cell r="M533">
            <v>0.04</v>
          </cell>
          <cell r="N533">
            <v>5</v>
          </cell>
          <cell r="O533">
            <v>6000</v>
          </cell>
        </row>
        <row r="534">
          <cell r="B534" t="str">
            <v>Auxiliary EquipmentTransformer250</v>
          </cell>
          <cell r="C534" t="str">
            <v>Auxiliary Equipment</v>
          </cell>
          <cell r="D534" t="str">
            <v>Transformer</v>
          </cell>
          <cell r="E534">
            <v>0</v>
          </cell>
          <cell r="F534">
            <v>250</v>
          </cell>
          <cell r="I534">
            <v>7000</v>
          </cell>
          <cell r="J534">
            <v>25</v>
          </cell>
          <cell r="K534">
            <v>0.95</v>
          </cell>
          <cell r="L534">
            <v>5</v>
          </cell>
          <cell r="M534">
            <v>0.04</v>
          </cell>
          <cell r="N534">
            <v>5</v>
          </cell>
          <cell r="O534">
            <v>7000</v>
          </cell>
        </row>
        <row r="535">
          <cell r="B535" t="str">
            <v>Auxiliary EquipmentTransformer270</v>
          </cell>
          <cell r="C535" t="str">
            <v>Auxiliary Equipment</v>
          </cell>
          <cell r="D535" t="str">
            <v>Transformer</v>
          </cell>
          <cell r="E535">
            <v>0</v>
          </cell>
          <cell r="F535">
            <v>270</v>
          </cell>
          <cell r="I535">
            <v>7000</v>
          </cell>
          <cell r="J535">
            <v>25</v>
          </cell>
          <cell r="K535">
            <v>0.95</v>
          </cell>
          <cell r="L535">
            <v>5</v>
          </cell>
          <cell r="M535">
            <v>0.04</v>
          </cell>
          <cell r="N535">
            <v>5</v>
          </cell>
          <cell r="O535">
            <v>7000</v>
          </cell>
        </row>
        <row r="536">
          <cell r="B536" t="str">
            <v>Auxiliary EquipmentTransformer300</v>
          </cell>
          <cell r="C536" t="str">
            <v>Auxiliary Equipment</v>
          </cell>
          <cell r="D536" t="str">
            <v>Transformer</v>
          </cell>
          <cell r="E536">
            <v>0</v>
          </cell>
          <cell r="F536">
            <v>300</v>
          </cell>
          <cell r="I536">
            <v>8000</v>
          </cell>
          <cell r="J536">
            <v>25</v>
          </cell>
          <cell r="K536">
            <v>0.95</v>
          </cell>
          <cell r="L536">
            <v>5</v>
          </cell>
          <cell r="M536">
            <v>0.04</v>
          </cell>
          <cell r="N536">
            <v>5</v>
          </cell>
          <cell r="O536">
            <v>8000</v>
          </cell>
        </row>
        <row r="537">
          <cell r="B537" t="str">
            <v>Auxiliary EquipmentTransformer400</v>
          </cell>
          <cell r="C537" t="str">
            <v>Auxiliary Equipment</v>
          </cell>
          <cell r="D537" t="str">
            <v>Transformer</v>
          </cell>
          <cell r="E537">
            <v>0</v>
          </cell>
          <cell r="F537">
            <v>400</v>
          </cell>
          <cell r="I537">
            <v>9000</v>
          </cell>
          <cell r="J537">
            <v>25</v>
          </cell>
          <cell r="K537">
            <v>0.95</v>
          </cell>
          <cell r="L537">
            <v>5</v>
          </cell>
          <cell r="M537">
            <v>0.04</v>
          </cell>
          <cell r="N537">
            <v>5</v>
          </cell>
          <cell r="O537">
            <v>9000</v>
          </cell>
        </row>
        <row r="538">
          <cell r="B538" t="str">
            <v>Auxiliary EquipmentTransformer420</v>
          </cell>
          <cell r="C538" t="str">
            <v>Auxiliary Equipment</v>
          </cell>
          <cell r="D538" t="str">
            <v>Transformer</v>
          </cell>
          <cell r="E538">
            <v>0</v>
          </cell>
          <cell r="F538">
            <v>420</v>
          </cell>
          <cell r="I538">
            <v>9000</v>
          </cell>
          <cell r="J538">
            <v>25</v>
          </cell>
          <cell r="K538">
            <v>0.95</v>
          </cell>
          <cell r="L538">
            <v>5</v>
          </cell>
          <cell r="M538">
            <v>0.04</v>
          </cell>
          <cell r="N538">
            <v>5</v>
          </cell>
          <cell r="O538">
            <v>9000</v>
          </cell>
        </row>
        <row r="539">
          <cell r="B539" t="str">
            <v>Auxiliary EquipmentTransformer470</v>
          </cell>
          <cell r="C539" t="str">
            <v>Auxiliary Equipment</v>
          </cell>
          <cell r="D539" t="str">
            <v>Transformer</v>
          </cell>
          <cell r="E539">
            <v>0</v>
          </cell>
          <cell r="F539">
            <v>470</v>
          </cell>
          <cell r="I539">
            <v>10000</v>
          </cell>
          <cell r="J539">
            <v>25</v>
          </cell>
          <cell r="K539">
            <v>0.95</v>
          </cell>
          <cell r="L539">
            <v>5</v>
          </cell>
          <cell r="M539">
            <v>0.04</v>
          </cell>
          <cell r="N539">
            <v>5</v>
          </cell>
          <cell r="O539">
            <v>10000</v>
          </cell>
        </row>
        <row r="540">
          <cell r="B540" t="str">
            <v>Auxiliary EquipmentTransformer500</v>
          </cell>
          <cell r="C540" t="str">
            <v>Auxiliary Equipment</v>
          </cell>
          <cell r="D540" t="str">
            <v>Transformer</v>
          </cell>
          <cell r="E540">
            <v>0</v>
          </cell>
          <cell r="F540">
            <v>500</v>
          </cell>
          <cell r="I540">
            <v>10000</v>
          </cell>
          <cell r="J540">
            <v>25</v>
          </cell>
          <cell r="K540">
            <v>0.95</v>
          </cell>
          <cell r="L540">
            <v>5</v>
          </cell>
          <cell r="M540">
            <v>0.04</v>
          </cell>
          <cell r="N540">
            <v>5</v>
          </cell>
          <cell r="O540">
            <v>10000</v>
          </cell>
        </row>
        <row r="541">
          <cell r="B541" t="str">
            <v>Auxiliary EquipmentTransformer630</v>
          </cell>
          <cell r="C541" t="str">
            <v>Auxiliary Equipment</v>
          </cell>
          <cell r="D541" t="str">
            <v>Transformer</v>
          </cell>
          <cell r="E541">
            <v>0</v>
          </cell>
          <cell r="F541">
            <v>630</v>
          </cell>
          <cell r="I541">
            <v>11500</v>
          </cell>
          <cell r="J541">
            <v>25</v>
          </cell>
          <cell r="K541">
            <v>0.95</v>
          </cell>
          <cell r="L541">
            <v>5</v>
          </cell>
          <cell r="M541">
            <v>0.04</v>
          </cell>
          <cell r="N541">
            <v>5</v>
          </cell>
          <cell r="O541">
            <v>11500</v>
          </cell>
        </row>
        <row r="542">
          <cell r="B542" t="str">
            <v>Auxiliary EquipmentTransformer750</v>
          </cell>
          <cell r="C542" t="str">
            <v>Auxiliary Equipment</v>
          </cell>
          <cell r="D542" t="str">
            <v>Transformer</v>
          </cell>
          <cell r="E542">
            <v>0</v>
          </cell>
          <cell r="F542">
            <v>750</v>
          </cell>
          <cell r="I542">
            <v>13000</v>
          </cell>
          <cell r="J542">
            <v>25</v>
          </cell>
          <cell r="K542">
            <v>0.95</v>
          </cell>
          <cell r="L542">
            <v>5</v>
          </cell>
          <cell r="M542">
            <v>0.04</v>
          </cell>
          <cell r="N542">
            <v>5</v>
          </cell>
          <cell r="O542">
            <v>13000</v>
          </cell>
        </row>
        <row r="543">
          <cell r="B543" t="str">
            <v>Auxiliary EquipmentTransformer1000</v>
          </cell>
          <cell r="C543" t="str">
            <v>Auxiliary Equipment</v>
          </cell>
          <cell r="D543" t="str">
            <v>Transformer</v>
          </cell>
          <cell r="E543">
            <v>0</v>
          </cell>
          <cell r="F543">
            <v>1000</v>
          </cell>
          <cell r="I543">
            <v>16000</v>
          </cell>
          <cell r="J543">
            <v>25</v>
          </cell>
          <cell r="K543">
            <v>0.95</v>
          </cell>
          <cell r="L543">
            <v>5</v>
          </cell>
          <cell r="M543">
            <v>0.04</v>
          </cell>
          <cell r="N543">
            <v>5</v>
          </cell>
          <cell r="O543">
            <v>16000</v>
          </cell>
        </row>
        <row r="544">
          <cell r="B544" t="str">
            <v>Auxiliary EquipmentTransformer1200</v>
          </cell>
          <cell r="C544" t="str">
            <v>Auxiliary Equipment</v>
          </cell>
          <cell r="D544" t="str">
            <v>Transformer</v>
          </cell>
          <cell r="E544">
            <v>0</v>
          </cell>
          <cell r="F544">
            <v>1200</v>
          </cell>
          <cell r="I544">
            <v>19000</v>
          </cell>
          <cell r="J544">
            <v>25</v>
          </cell>
          <cell r="K544">
            <v>0.95</v>
          </cell>
          <cell r="L544">
            <v>5</v>
          </cell>
          <cell r="M544">
            <v>0.04</v>
          </cell>
          <cell r="N544">
            <v>5</v>
          </cell>
          <cell r="O544">
            <v>19000</v>
          </cell>
        </row>
        <row r="545">
          <cell r="B545" t="str">
            <v>Auxiliary EquipmentTransformer1600</v>
          </cell>
          <cell r="C545" t="str">
            <v>Auxiliary Equipment</v>
          </cell>
          <cell r="D545" t="str">
            <v>Transformer</v>
          </cell>
          <cell r="E545">
            <v>0</v>
          </cell>
          <cell r="F545">
            <v>1600</v>
          </cell>
          <cell r="I545">
            <v>24000</v>
          </cell>
          <cell r="J545">
            <v>25</v>
          </cell>
          <cell r="K545">
            <v>0.95</v>
          </cell>
          <cell r="L545">
            <v>5</v>
          </cell>
          <cell r="M545">
            <v>0.04</v>
          </cell>
          <cell r="N545">
            <v>5</v>
          </cell>
          <cell r="O545">
            <v>24000</v>
          </cell>
        </row>
        <row r="546">
          <cell r="B546" t="str">
            <v>Auxiliary EquipmentTransformer100/75</v>
          </cell>
          <cell r="C546" t="str">
            <v>Auxiliary Equipment</v>
          </cell>
          <cell r="D546" t="str">
            <v>Transformer</v>
          </cell>
          <cell r="E546">
            <v>0</v>
          </cell>
          <cell r="F546" t="str">
            <v>100/75</v>
          </cell>
          <cell r="I546">
            <v>4000</v>
          </cell>
          <cell r="J546">
            <v>25</v>
          </cell>
          <cell r="K546">
            <v>0.95</v>
          </cell>
          <cell r="L546">
            <v>5</v>
          </cell>
          <cell r="M546">
            <v>0.04</v>
          </cell>
          <cell r="N546">
            <v>5</v>
          </cell>
          <cell r="O546">
            <v>4000</v>
          </cell>
        </row>
        <row r="547">
          <cell r="B547" t="str">
            <v>Auxiliary EquipmentTransformer1000/700</v>
          </cell>
          <cell r="C547" t="str">
            <v>Auxiliary Equipment</v>
          </cell>
          <cell r="D547" t="str">
            <v>Transformer</v>
          </cell>
          <cell r="E547">
            <v>0</v>
          </cell>
          <cell r="F547" t="str">
            <v>1000/700</v>
          </cell>
          <cell r="I547">
            <v>16000</v>
          </cell>
          <cell r="J547">
            <v>25</v>
          </cell>
          <cell r="K547">
            <v>0.95</v>
          </cell>
          <cell r="L547">
            <v>5</v>
          </cell>
          <cell r="M547">
            <v>0.04</v>
          </cell>
          <cell r="N547">
            <v>5</v>
          </cell>
          <cell r="O547">
            <v>16000</v>
          </cell>
        </row>
        <row r="548">
          <cell r="B548" t="str">
            <v>Auxiliary EquipmentTransformer1200/200</v>
          </cell>
          <cell r="C548" t="str">
            <v>Auxiliary Equipment</v>
          </cell>
          <cell r="D548" t="str">
            <v>Transformer</v>
          </cell>
          <cell r="E548">
            <v>0</v>
          </cell>
          <cell r="F548" t="str">
            <v>1200/200</v>
          </cell>
          <cell r="I548">
            <v>19000</v>
          </cell>
          <cell r="J548">
            <v>25</v>
          </cell>
          <cell r="K548">
            <v>0.95</v>
          </cell>
          <cell r="L548">
            <v>5</v>
          </cell>
          <cell r="M548">
            <v>0.04</v>
          </cell>
          <cell r="N548">
            <v>5</v>
          </cell>
          <cell r="O548">
            <v>19000</v>
          </cell>
        </row>
        <row r="549">
          <cell r="B549" t="str">
            <v>Auxiliary EquipmentTransformer160/75</v>
          </cell>
          <cell r="C549" t="str">
            <v>Auxiliary Equipment</v>
          </cell>
          <cell r="D549" t="str">
            <v>Transformer</v>
          </cell>
          <cell r="E549">
            <v>0</v>
          </cell>
          <cell r="F549" t="str">
            <v>160/75</v>
          </cell>
          <cell r="I549">
            <v>5000</v>
          </cell>
          <cell r="J549">
            <v>25</v>
          </cell>
          <cell r="K549">
            <v>0.95</v>
          </cell>
          <cell r="L549">
            <v>5</v>
          </cell>
          <cell r="M549">
            <v>0.04</v>
          </cell>
          <cell r="N549">
            <v>5</v>
          </cell>
          <cell r="O549">
            <v>5000</v>
          </cell>
        </row>
        <row r="550">
          <cell r="B550" t="str">
            <v>Auxiliary EquipmentTransformer250/50</v>
          </cell>
          <cell r="C550" t="str">
            <v>Auxiliary Equipment</v>
          </cell>
          <cell r="D550" t="str">
            <v>Transformer</v>
          </cell>
          <cell r="E550">
            <v>0</v>
          </cell>
          <cell r="F550" t="str">
            <v>250/50</v>
          </cell>
          <cell r="I550">
            <v>7000</v>
          </cell>
          <cell r="J550">
            <v>25</v>
          </cell>
          <cell r="K550">
            <v>0.95</v>
          </cell>
          <cell r="L550">
            <v>5</v>
          </cell>
          <cell r="M550">
            <v>0.04</v>
          </cell>
          <cell r="N550">
            <v>5</v>
          </cell>
          <cell r="O550">
            <v>7000</v>
          </cell>
        </row>
        <row r="551">
          <cell r="B551" t="str">
            <v>Auxiliary EquipmentTransformer300/50</v>
          </cell>
          <cell r="C551" t="str">
            <v>Auxiliary Equipment</v>
          </cell>
          <cell r="D551" t="str">
            <v>Transformer</v>
          </cell>
          <cell r="E551">
            <v>0</v>
          </cell>
          <cell r="F551" t="str">
            <v>300/50</v>
          </cell>
          <cell r="I551">
            <v>8000</v>
          </cell>
          <cell r="J551">
            <v>25</v>
          </cell>
          <cell r="K551">
            <v>0.95</v>
          </cell>
          <cell r="L551">
            <v>5</v>
          </cell>
          <cell r="M551">
            <v>0.04</v>
          </cell>
          <cell r="N551">
            <v>5</v>
          </cell>
          <cell r="O551">
            <v>8000</v>
          </cell>
        </row>
        <row r="552">
          <cell r="B552" t="str">
            <v>Auxiliary EquipmentTransformer400/200</v>
          </cell>
          <cell r="C552" t="str">
            <v>Auxiliary Equipment</v>
          </cell>
          <cell r="D552" t="str">
            <v>Transformer</v>
          </cell>
          <cell r="E552">
            <v>0</v>
          </cell>
          <cell r="F552" t="str">
            <v>400/200</v>
          </cell>
          <cell r="I552">
            <v>9000</v>
          </cell>
          <cell r="J552">
            <v>25</v>
          </cell>
          <cell r="K552">
            <v>0.95</v>
          </cell>
          <cell r="L552">
            <v>5</v>
          </cell>
          <cell r="M552">
            <v>0.04</v>
          </cell>
          <cell r="N552">
            <v>5</v>
          </cell>
          <cell r="O552">
            <v>9000</v>
          </cell>
        </row>
        <row r="553">
          <cell r="B553" t="str">
            <v>Auxiliary EquipmentTransformer420/50</v>
          </cell>
          <cell r="C553" t="str">
            <v>Auxiliary Equipment</v>
          </cell>
          <cell r="D553" t="str">
            <v>Transformer</v>
          </cell>
          <cell r="E553">
            <v>0</v>
          </cell>
          <cell r="F553" t="str">
            <v>420/50</v>
          </cell>
          <cell r="I553">
            <v>9000</v>
          </cell>
          <cell r="J553">
            <v>25</v>
          </cell>
          <cell r="K553">
            <v>0.95</v>
          </cell>
          <cell r="L553">
            <v>5</v>
          </cell>
          <cell r="M553">
            <v>0.04</v>
          </cell>
          <cell r="N553">
            <v>5</v>
          </cell>
          <cell r="O553">
            <v>9000</v>
          </cell>
        </row>
        <row r="554">
          <cell r="B554" t="str">
            <v>Auxiliary EquipmentTransformer630/100</v>
          </cell>
          <cell r="C554" t="str">
            <v>Auxiliary Equipment</v>
          </cell>
          <cell r="D554" t="str">
            <v>Transformer</v>
          </cell>
          <cell r="E554">
            <v>0</v>
          </cell>
          <cell r="F554" t="str">
            <v>630/100</v>
          </cell>
          <cell r="I554">
            <v>11500</v>
          </cell>
          <cell r="J554">
            <v>25</v>
          </cell>
          <cell r="K554">
            <v>0.95</v>
          </cell>
          <cell r="L554">
            <v>5</v>
          </cell>
          <cell r="M554">
            <v>0.04</v>
          </cell>
          <cell r="N554">
            <v>5</v>
          </cell>
          <cell r="O554">
            <v>11500</v>
          </cell>
        </row>
        <row r="555">
          <cell r="B555" t="str">
            <v>Bus Coupler Cell6kVsingle</v>
          </cell>
          <cell r="C555" t="str">
            <v>Bus Coupler Cell</v>
          </cell>
          <cell r="D555">
            <v>6</v>
          </cell>
          <cell r="E555" t="str">
            <v>kV</v>
          </cell>
          <cell r="F555" t="str">
            <v>single</v>
          </cell>
          <cell r="I555">
            <v>1500</v>
          </cell>
          <cell r="J555">
            <v>15</v>
          </cell>
          <cell r="K555">
            <v>0.95</v>
          </cell>
          <cell r="L555">
            <v>3</v>
          </cell>
          <cell r="M555">
            <v>0.04</v>
          </cell>
          <cell r="N555">
            <v>5</v>
          </cell>
          <cell r="O555">
            <v>1500</v>
          </cell>
        </row>
        <row r="556">
          <cell r="B556" t="str">
            <v>Bus Coupler Cell20kVdouble</v>
          </cell>
          <cell r="C556" t="str">
            <v>Bus Coupler Cell</v>
          </cell>
          <cell r="D556">
            <v>20</v>
          </cell>
          <cell r="E556" t="str">
            <v>kV</v>
          </cell>
          <cell r="F556" t="str">
            <v>double</v>
          </cell>
          <cell r="I556">
            <v>14000</v>
          </cell>
          <cell r="J556">
            <v>15</v>
          </cell>
          <cell r="K556">
            <v>0.95</v>
          </cell>
          <cell r="L556">
            <v>3</v>
          </cell>
          <cell r="M556">
            <v>0.04</v>
          </cell>
          <cell r="N556">
            <v>5</v>
          </cell>
          <cell r="O556">
            <v>14000</v>
          </cell>
        </row>
        <row r="557">
          <cell r="B557" t="str">
            <v>Bus Coupler Cell20kVsingle</v>
          </cell>
          <cell r="C557" t="str">
            <v>Bus Coupler Cell</v>
          </cell>
          <cell r="D557">
            <v>20</v>
          </cell>
          <cell r="E557" t="str">
            <v>kV</v>
          </cell>
          <cell r="F557" t="str">
            <v>single</v>
          </cell>
          <cell r="I557">
            <v>14000</v>
          </cell>
          <cell r="J557">
            <v>15</v>
          </cell>
          <cell r="K557">
            <v>0.95</v>
          </cell>
          <cell r="L557">
            <v>3</v>
          </cell>
          <cell r="M557">
            <v>0.04</v>
          </cell>
          <cell r="N557">
            <v>5</v>
          </cell>
          <cell r="O557">
            <v>14000</v>
          </cell>
        </row>
        <row r="558">
          <cell r="B558" t="str">
            <v>Bus Coupler Cell110kVdouble</v>
          </cell>
          <cell r="C558" t="str">
            <v>Bus Coupler Cell</v>
          </cell>
          <cell r="D558">
            <v>110</v>
          </cell>
          <cell r="E558" t="str">
            <v>kV</v>
          </cell>
          <cell r="F558" t="str">
            <v>double</v>
          </cell>
          <cell r="I558">
            <v>80000</v>
          </cell>
          <cell r="J558">
            <v>15</v>
          </cell>
          <cell r="K558">
            <v>0.95</v>
          </cell>
          <cell r="L558">
            <v>3</v>
          </cell>
          <cell r="M558">
            <v>0.04</v>
          </cell>
          <cell r="N558">
            <v>5</v>
          </cell>
          <cell r="O558">
            <v>80000</v>
          </cell>
        </row>
        <row r="559">
          <cell r="B559" t="str">
            <v>Bus Coupler Cell110kVsingle</v>
          </cell>
          <cell r="C559" t="str">
            <v>Bus Coupler Cell</v>
          </cell>
          <cell r="D559">
            <v>110</v>
          </cell>
          <cell r="E559" t="str">
            <v>kV</v>
          </cell>
          <cell r="F559" t="str">
            <v>single</v>
          </cell>
          <cell r="I559">
            <v>80000</v>
          </cell>
          <cell r="J559">
            <v>15</v>
          </cell>
          <cell r="K559">
            <v>0.95</v>
          </cell>
          <cell r="L559">
            <v>3</v>
          </cell>
          <cell r="M559">
            <v>0.04</v>
          </cell>
          <cell r="N559">
            <v>5</v>
          </cell>
          <cell r="O559">
            <v>80000</v>
          </cell>
        </row>
        <row r="560">
          <cell r="B560" t="str">
            <v>Bus Coupler Cell110kVtriple</v>
          </cell>
          <cell r="C560" t="str">
            <v>Bus Coupler Cell</v>
          </cell>
          <cell r="D560">
            <v>110</v>
          </cell>
          <cell r="E560" t="str">
            <v>kV</v>
          </cell>
          <cell r="F560" t="str">
            <v>triple</v>
          </cell>
          <cell r="I560">
            <v>80000</v>
          </cell>
          <cell r="J560">
            <v>15</v>
          </cell>
          <cell r="K560">
            <v>0.95</v>
          </cell>
          <cell r="L560">
            <v>3</v>
          </cell>
          <cell r="M560">
            <v>0.04</v>
          </cell>
          <cell r="N560">
            <v>5</v>
          </cell>
          <cell r="O560">
            <v>80000</v>
          </cell>
        </row>
        <row r="561">
          <cell r="B561" t="str">
            <v>Busbar System6kVdouble</v>
          </cell>
          <cell r="C561" t="str">
            <v>Busbar System</v>
          </cell>
          <cell r="D561">
            <v>6</v>
          </cell>
          <cell r="E561" t="str">
            <v>kV</v>
          </cell>
          <cell r="F561" t="str">
            <v>double</v>
          </cell>
          <cell r="I561">
            <v>7500</v>
          </cell>
          <cell r="J561">
            <v>25</v>
          </cell>
          <cell r="K561">
            <v>0.95</v>
          </cell>
          <cell r="L561">
            <v>5</v>
          </cell>
          <cell r="M561">
            <v>0.04</v>
          </cell>
          <cell r="N561">
            <v>5</v>
          </cell>
          <cell r="O561">
            <v>7500</v>
          </cell>
        </row>
        <row r="562">
          <cell r="B562" t="str">
            <v>Busbar System6kVsingle</v>
          </cell>
          <cell r="C562" t="str">
            <v>Busbar System</v>
          </cell>
          <cell r="D562">
            <v>6</v>
          </cell>
          <cell r="E562" t="str">
            <v>kV</v>
          </cell>
          <cell r="F562" t="str">
            <v>single</v>
          </cell>
          <cell r="I562">
            <v>5000</v>
          </cell>
          <cell r="J562">
            <v>25</v>
          </cell>
          <cell r="K562">
            <v>0.95</v>
          </cell>
          <cell r="L562">
            <v>5</v>
          </cell>
          <cell r="M562">
            <v>0.04</v>
          </cell>
          <cell r="N562">
            <v>5</v>
          </cell>
          <cell r="O562">
            <v>5000</v>
          </cell>
        </row>
        <row r="563">
          <cell r="B563" t="str">
            <v>Busbar System6kVtriple</v>
          </cell>
          <cell r="C563" t="str">
            <v>Busbar System</v>
          </cell>
          <cell r="D563">
            <v>6</v>
          </cell>
          <cell r="E563" t="str">
            <v>kV</v>
          </cell>
          <cell r="F563" t="str">
            <v>triple</v>
          </cell>
          <cell r="I563">
            <v>10000</v>
          </cell>
          <cell r="J563">
            <v>25</v>
          </cell>
          <cell r="K563">
            <v>0.95</v>
          </cell>
          <cell r="L563">
            <v>5</v>
          </cell>
          <cell r="M563">
            <v>0.04</v>
          </cell>
          <cell r="N563">
            <v>5</v>
          </cell>
          <cell r="O563">
            <v>10000</v>
          </cell>
        </row>
        <row r="564">
          <cell r="B564" t="str">
            <v>Busbar System10kVdouble</v>
          </cell>
          <cell r="C564" t="str">
            <v>Busbar System</v>
          </cell>
          <cell r="D564">
            <v>10</v>
          </cell>
          <cell r="E564" t="str">
            <v>kV</v>
          </cell>
          <cell r="F564" t="str">
            <v>double</v>
          </cell>
          <cell r="I564">
            <v>10000</v>
          </cell>
          <cell r="J564">
            <v>25</v>
          </cell>
          <cell r="K564">
            <v>0.95</v>
          </cell>
          <cell r="L564">
            <v>5</v>
          </cell>
          <cell r="M564">
            <v>0.04</v>
          </cell>
          <cell r="N564">
            <v>5</v>
          </cell>
          <cell r="O564">
            <v>10000</v>
          </cell>
        </row>
        <row r="565">
          <cell r="B565" t="str">
            <v>Busbar System10kVsingle</v>
          </cell>
          <cell r="C565" t="str">
            <v>Busbar System</v>
          </cell>
          <cell r="D565">
            <v>10</v>
          </cell>
          <cell r="E565" t="str">
            <v>kV</v>
          </cell>
          <cell r="F565" t="str">
            <v>single</v>
          </cell>
          <cell r="I565">
            <v>7500</v>
          </cell>
          <cell r="J565">
            <v>25</v>
          </cell>
          <cell r="K565">
            <v>0.95</v>
          </cell>
          <cell r="L565">
            <v>5</v>
          </cell>
          <cell r="M565">
            <v>0.04</v>
          </cell>
          <cell r="N565">
            <v>5</v>
          </cell>
          <cell r="O565">
            <v>7500</v>
          </cell>
        </row>
        <row r="566">
          <cell r="B566" t="str">
            <v>Busbar System20kVdouble</v>
          </cell>
          <cell r="C566" t="str">
            <v>Busbar System</v>
          </cell>
          <cell r="D566">
            <v>20</v>
          </cell>
          <cell r="E566" t="str">
            <v>kV</v>
          </cell>
          <cell r="F566" t="str">
            <v>double</v>
          </cell>
          <cell r="I566">
            <v>10000</v>
          </cell>
          <cell r="J566">
            <v>25</v>
          </cell>
          <cell r="K566">
            <v>0.95</v>
          </cell>
          <cell r="L566">
            <v>5</v>
          </cell>
          <cell r="M566">
            <v>0.04</v>
          </cell>
          <cell r="N566">
            <v>5</v>
          </cell>
          <cell r="O566">
            <v>10000</v>
          </cell>
        </row>
        <row r="567">
          <cell r="B567" t="str">
            <v>Busbar System20kVsingle</v>
          </cell>
          <cell r="C567" t="str">
            <v>Busbar System</v>
          </cell>
          <cell r="D567">
            <v>20</v>
          </cell>
          <cell r="E567" t="str">
            <v>kV</v>
          </cell>
          <cell r="F567" t="str">
            <v>single</v>
          </cell>
          <cell r="I567">
            <v>7500</v>
          </cell>
          <cell r="J567">
            <v>25</v>
          </cell>
          <cell r="K567">
            <v>0.95</v>
          </cell>
          <cell r="L567">
            <v>5</v>
          </cell>
          <cell r="M567">
            <v>0.04</v>
          </cell>
          <cell r="N567">
            <v>5</v>
          </cell>
          <cell r="O567">
            <v>7500</v>
          </cell>
        </row>
        <row r="568">
          <cell r="B568" t="str">
            <v>Busbar System35kVsingle</v>
          </cell>
          <cell r="C568" t="str">
            <v>Busbar System</v>
          </cell>
          <cell r="D568">
            <v>35</v>
          </cell>
          <cell r="E568" t="str">
            <v>kV</v>
          </cell>
          <cell r="F568" t="str">
            <v>single</v>
          </cell>
          <cell r="I568">
            <v>15000</v>
          </cell>
          <cell r="J568">
            <v>25</v>
          </cell>
          <cell r="K568">
            <v>0.95</v>
          </cell>
          <cell r="L568">
            <v>5</v>
          </cell>
          <cell r="M568">
            <v>0.04</v>
          </cell>
          <cell r="N568">
            <v>5</v>
          </cell>
          <cell r="O568">
            <v>15000</v>
          </cell>
        </row>
        <row r="569">
          <cell r="B569" t="str">
            <v>Busbar System110kVdouble</v>
          </cell>
          <cell r="C569" t="str">
            <v>Busbar System</v>
          </cell>
          <cell r="D569">
            <v>110</v>
          </cell>
          <cell r="E569" t="str">
            <v>kV</v>
          </cell>
          <cell r="F569" t="str">
            <v>double</v>
          </cell>
          <cell r="I569">
            <v>25000</v>
          </cell>
          <cell r="J569">
            <v>25</v>
          </cell>
          <cell r="K569">
            <v>0.95</v>
          </cell>
          <cell r="L569">
            <v>5</v>
          </cell>
          <cell r="M569">
            <v>0.04</v>
          </cell>
          <cell r="N569">
            <v>5</v>
          </cell>
          <cell r="O569">
            <v>25000</v>
          </cell>
        </row>
        <row r="570">
          <cell r="B570" t="str">
            <v>Busbar System110kVsingle</v>
          </cell>
          <cell r="C570" t="str">
            <v>Busbar System</v>
          </cell>
          <cell r="D570">
            <v>110</v>
          </cell>
          <cell r="E570" t="str">
            <v>kV</v>
          </cell>
          <cell r="F570" t="str">
            <v>single</v>
          </cell>
          <cell r="I570">
            <v>20000</v>
          </cell>
          <cell r="J570">
            <v>25</v>
          </cell>
          <cell r="K570">
            <v>0.95</v>
          </cell>
          <cell r="L570">
            <v>5</v>
          </cell>
          <cell r="M570">
            <v>0.04</v>
          </cell>
          <cell r="N570">
            <v>5</v>
          </cell>
          <cell r="O570">
            <v>20000</v>
          </cell>
        </row>
        <row r="571">
          <cell r="B571" t="str">
            <v>Busbar System110kVtriple</v>
          </cell>
          <cell r="C571" t="str">
            <v>Busbar System</v>
          </cell>
          <cell r="D571">
            <v>110</v>
          </cell>
          <cell r="E571" t="str">
            <v>kV</v>
          </cell>
          <cell r="F571" t="str">
            <v>triple</v>
          </cell>
          <cell r="I571">
            <v>30000</v>
          </cell>
          <cell r="J571">
            <v>25</v>
          </cell>
          <cell r="K571">
            <v>0.95</v>
          </cell>
          <cell r="L571">
            <v>5</v>
          </cell>
          <cell r="M571">
            <v>0.04</v>
          </cell>
          <cell r="N571">
            <v>5</v>
          </cell>
          <cell r="O571">
            <v>30000</v>
          </cell>
        </row>
        <row r="572">
          <cell r="B572" t="str">
            <v>Control System6kVAnalogue</v>
          </cell>
          <cell r="C572" t="str">
            <v>Control System</v>
          </cell>
          <cell r="D572">
            <v>6</v>
          </cell>
          <cell r="E572" t="str">
            <v>kV</v>
          </cell>
          <cell r="F572" t="str">
            <v>Analogue</v>
          </cell>
          <cell r="I572">
            <v>10000</v>
          </cell>
          <cell r="J572">
            <v>25</v>
          </cell>
          <cell r="K572">
            <v>0.95</v>
          </cell>
          <cell r="L572">
            <v>5</v>
          </cell>
          <cell r="M572">
            <v>0.04</v>
          </cell>
          <cell r="N572">
            <v>5</v>
          </cell>
          <cell r="O572">
            <v>10000</v>
          </cell>
        </row>
        <row r="573">
          <cell r="B573" t="str">
            <v>Control System6kVComputerized</v>
          </cell>
          <cell r="C573" t="str">
            <v>Control System</v>
          </cell>
          <cell r="D573">
            <v>6</v>
          </cell>
          <cell r="E573" t="str">
            <v>kV</v>
          </cell>
          <cell r="F573" t="str">
            <v>Computerized</v>
          </cell>
          <cell r="I573">
            <v>10000</v>
          </cell>
          <cell r="J573">
            <v>25</v>
          </cell>
          <cell r="K573">
            <v>0.95</v>
          </cell>
          <cell r="L573">
            <v>5</v>
          </cell>
          <cell r="M573">
            <v>0.04</v>
          </cell>
          <cell r="N573">
            <v>5</v>
          </cell>
          <cell r="O573">
            <v>10000</v>
          </cell>
        </row>
        <row r="574">
          <cell r="B574" t="str">
            <v>Control System6kVHibrid</v>
          </cell>
          <cell r="C574" t="str">
            <v>Control System</v>
          </cell>
          <cell r="D574">
            <v>6</v>
          </cell>
          <cell r="E574" t="str">
            <v>kV</v>
          </cell>
          <cell r="F574" t="str">
            <v>Hibrid</v>
          </cell>
          <cell r="I574">
            <v>10000</v>
          </cell>
          <cell r="J574">
            <v>25</v>
          </cell>
          <cell r="K574">
            <v>0.95</v>
          </cell>
          <cell r="L574">
            <v>5</v>
          </cell>
          <cell r="M574">
            <v>0.04</v>
          </cell>
          <cell r="N574">
            <v>5</v>
          </cell>
          <cell r="O574">
            <v>10000</v>
          </cell>
        </row>
        <row r="575">
          <cell r="B575" t="str">
            <v>Control System10kVAnalogue</v>
          </cell>
          <cell r="C575" t="str">
            <v>Control System</v>
          </cell>
          <cell r="D575">
            <v>10</v>
          </cell>
          <cell r="E575" t="str">
            <v>kV</v>
          </cell>
          <cell r="F575" t="str">
            <v>Analogue</v>
          </cell>
          <cell r="I575">
            <v>10000</v>
          </cell>
          <cell r="J575">
            <v>25</v>
          </cell>
          <cell r="K575">
            <v>0.95</v>
          </cell>
          <cell r="L575">
            <v>5</v>
          </cell>
          <cell r="M575">
            <v>0.04</v>
          </cell>
          <cell r="N575">
            <v>5</v>
          </cell>
          <cell r="O575">
            <v>10000</v>
          </cell>
        </row>
        <row r="576">
          <cell r="B576" t="str">
            <v>Control System20kVAnalogue</v>
          </cell>
          <cell r="C576" t="str">
            <v>Control System</v>
          </cell>
          <cell r="D576">
            <v>20</v>
          </cell>
          <cell r="E576" t="str">
            <v>kV</v>
          </cell>
          <cell r="F576" t="str">
            <v>Analogue</v>
          </cell>
          <cell r="I576">
            <v>10000</v>
          </cell>
          <cell r="J576">
            <v>25</v>
          </cell>
          <cell r="K576">
            <v>0.95</v>
          </cell>
          <cell r="L576">
            <v>5</v>
          </cell>
          <cell r="M576">
            <v>0.04</v>
          </cell>
          <cell r="N576">
            <v>5</v>
          </cell>
          <cell r="O576">
            <v>10000</v>
          </cell>
        </row>
        <row r="577">
          <cell r="B577" t="str">
            <v>Control System20kVComputerized</v>
          </cell>
          <cell r="C577" t="str">
            <v>Control System</v>
          </cell>
          <cell r="D577">
            <v>20</v>
          </cell>
          <cell r="E577" t="str">
            <v>kV</v>
          </cell>
          <cell r="F577" t="str">
            <v>Computerized</v>
          </cell>
          <cell r="I577">
            <v>10000</v>
          </cell>
          <cell r="J577">
            <v>25</v>
          </cell>
          <cell r="K577">
            <v>0.95</v>
          </cell>
          <cell r="L577">
            <v>5</v>
          </cell>
          <cell r="M577">
            <v>0.04</v>
          </cell>
          <cell r="N577">
            <v>5</v>
          </cell>
          <cell r="O577">
            <v>10000</v>
          </cell>
        </row>
        <row r="578">
          <cell r="B578" t="str">
            <v>Control System20kVHibrid</v>
          </cell>
          <cell r="C578" t="str">
            <v>Control System</v>
          </cell>
          <cell r="D578">
            <v>20</v>
          </cell>
          <cell r="E578" t="str">
            <v>kV</v>
          </cell>
          <cell r="F578" t="str">
            <v>Hibrid</v>
          </cell>
          <cell r="I578">
            <v>10000</v>
          </cell>
          <cell r="J578">
            <v>25</v>
          </cell>
          <cell r="K578">
            <v>0.95</v>
          </cell>
          <cell r="L578">
            <v>5</v>
          </cell>
          <cell r="M578">
            <v>0.04</v>
          </cell>
          <cell r="N578">
            <v>5</v>
          </cell>
          <cell r="O578">
            <v>10000</v>
          </cell>
        </row>
        <row r="579">
          <cell r="B579" t="str">
            <v>Control System20kVModern</v>
          </cell>
          <cell r="C579" t="str">
            <v>Control System</v>
          </cell>
          <cell r="D579">
            <v>20</v>
          </cell>
          <cell r="E579" t="str">
            <v>kV</v>
          </cell>
          <cell r="F579" t="str">
            <v>Modern</v>
          </cell>
          <cell r="I579">
            <v>10000</v>
          </cell>
          <cell r="J579">
            <v>25</v>
          </cell>
          <cell r="K579">
            <v>0.95</v>
          </cell>
          <cell r="L579">
            <v>5</v>
          </cell>
          <cell r="M579">
            <v>0.04</v>
          </cell>
          <cell r="N579">
            <v>5</v>
          </cell>
          <cell r="O579">
            <v>10000</v>
          </cell>
        </row>
        <row r="580">
          <cell r="B580" t="str">
            <v>Control System35kVAnalogue</v>
          </cell>
          <cell r="C580" t="str">
            <v>Control System</v>
          </cell>
          <cell r="D580">
            <v>35</v>
          </cell>
          <cell r="E580" t="str">
            <v>kV</v>
          </cell>
          <cell r="F580" t="str">
            <v>Analogue</v>
          </cell>
          <cell r="I580">
            <v>10000</v>
          </cell>
          <cell r="J580">
            <v>25</v>
          </cell>
          <cell r="K580">
            <v>0.95</v>
          </cell>
          <cell r="L580">
            <v>5</v>
          </cell>
          <cell r="M580">
            <v>0.04</v>
          </cell>
          <cell r="N580">
            <v>5</v>
          </cell>
          <cell r="O580">
            <v>10000</v>
          </cell>
        </row>
        <row r="581">
          <cell r="B581" t="str">
            <v>Control System110kVAnalogue</v>
          </cell>
          <cell r="C581" t="str">
            <v>Control System</v>
          </cell>
          <cell r="D581">
            <v>110</v>
          </cell>
          <cell r="E581" t="str">
            <v>kV</v>
          </cell>
          <cell r="F581" t="str">
            <v>Analogue</v>
          </cell>
          <cell r="I581">
            <v>120000</v>
          </cell>
          <cell r="J581">
            <v>25</v>
          </cell>
          <cell r="K581">
            <v>0.95</v>
          </cell>
          <cell r="L581">
            <v>5</v>
          </cell>
          <cell r="M581">
            <v>0.04</v>
          </cell>
          <cell r="N581">
            <v>5</v>
          </cell>
          <cell r="O581">
            <v>120000</v>
          </cell>
        </row>
        <row r="582">
          <cell r="B582" t="str">
            <v>Control System110kVComputerized</v>
          </cell>
          <cell r="C582" t="str">
            <v>Control System</v>
          </cell>
          <cell r="D582">
            <v>110</v>
          </cell>
          <cell r="E582" t="str">
            <v>kV</v>
          </cell>
          <cell r="F582" t="str">
            <v>Computerized</v>
          </cell>
          <cell r="I582">
            <v>120000</v>
          </cell>
          <cell r="J582">
            <v>25</v>
          </cell>
          <cell r="K582">
            <v>0.95</v>
          </cell>
          <cell r="L582">
            <v>5</v>
          </cell>
          <cell r="M582">
            <v>0.04</v>
          </cell>
          <cell r="N582">
            <v>5</v>
          </cell>
          <cell r="O582">
            <v>120000</v>
          </cell>
        </row>
        <row r="583">
          <cell r="B583" t="str">
            <v>Control System110kVHibrid</v>
          </cell>
          <cell r="C583" t="str">
            <v>Control System</v>
          </cell>
          <cell r="D583">
            <v>110</v>
          </cell>
          <cell r="E583" t="str">
            <v>kV</v>
          </cell>
          <cell r="F583" t="str">
            <v>Hibrid</v>
          </cell>
          <cell r="I583">
            <v>120000</v>
          </cell>
          <cell r="J583">
            <v>25</v>
          </cell>
          <cell r="K583">
            <v>0.95</v>
          </cell>
          <cell r="L583">
            <v>5</v>
          </cell>
          <cell r="M583">
            <v>0.04</v>
          </cell>
          <cell r="N583">
            <v>5</v>
          </cell>
          <cell r="O583">
            <v>120000</v>
          </cell>
        </row>
        <row r="584">
          <cell r="B584" t="str">
            <v>Control System110kVModern</v>
          </cell>
          <cell r="C584" t="str">
            <v>Control System</v>
          </cell>
          <cell r="D584">
            <v>110</v>
          </cell>
          <cell r="E584" t="str">
            <v>kV</v>
          </cell>
          <cell r="F584" t="str">
            <v>Modern</v>
          </cell>
          <cell r="I584">
            <v>120000</v>
          </cell>
          <cell r="J584">
            <v>25</v>
          </cell>
          <cell r="K584">
            <v>0.95</v>
          </cell>
          <cell r="L584">
            <v>5</v>
          </cell>
          <cell r="M584">
            <v>0.04</v>
          </cell>
          <cell r="N584">
            <v>5</v>
          </cell>
          <cell r="O584">
            <v>120000</v>
          </cell>
        </row>
        <row r="585">
          <cell r="B585" t="str">
            <v>Coupling Bay6kVdouble</v>
          </cell>
          <cell r="C585" t="str">
            <v>Coupling Bay</v>
          </cell>
          <cell r="D585">
            <v>6</v>
          </cell>
          <cell r="E585" t="str">
            <v>kV</v>
          </cell>
          <cell r="F585" t="str">
            <v>double</v>
          </cell>
          <cell r="I585">
            <v>10500</v>
          </cell>
          <cell r="J585">
            <v>35</v>
          </cell>
          <cell r="K585">
            <v>0.95</v>
          </cell>
          <cell r="L585">
            <v>8</v>
          </cell>
          <cell r="M585">
            <v>0.04</v>
          </cell>
          <cell r="N585">
            <v>5</v>
          </cell>
          <cell r="O585">
            <v>10500</v>
          </cell>
        </row>
        <row r="586">
          <cell r="B586" t="str">
            <v>Coupling Bay6kVsingle</v>
          </cell>
          <cell r="C586" t="str">
            <v>Coupling Bay</v>
          </cell>
          <cell r="D586">
            <v>6</v>
          </cell>
          <cell r="E586" t="str">
            <v>kV</v>
          </cell>
          <cell r="F586" t="str">
            <v>single</v>
          </cell>
          <cell r="I586">
            <v>10500</v>
          </cell>
          <cell r="J586">
            <v>35</v>
          </cell>
          <cell r="K586">
            <v>0.95</v>
          </cell>
          <cell r="L586">
            <v>8</v>
          </cell>
          <cell r="M586">
            <v>0.04</v>
          </cell>
          <cell r="N586">
            <v>5</v>
          </cell>
          <cell r="O586">
            <v>10500</v>
          </cell>
        </row>
        <row r="587">
          <cell r="B587" t="str">
            <v>Coupling Bay6kVtriple</v>
          </cell>
          <cell r="C587" t="str">
            <v>Coupling Bay</v>
          </cell>
          <cell r="D587">
            <v>6</v>
          </cell>
          <cell r="E587" t="str">
            <v>kV</v>
          </cell>
          <cell r="F587" t="str">
            <v>triple</v>
          </cell>
          <cell r="I587">
            <v>13000</v>
          </cell>
          <cell r="J587">
            <v>35</v>
          </cell>
          <cell r="K587">
            <v>0.95</v>
          </cell>
          <cell r="L587">
            <v>8</v>
          </cell>
          <cell r="M587">
            <v>0.04</v>
          </cell>
          <cell r="N587">
            <v>5</v>
          </cell>
          <cell r="O587">
            <v>13000</v>
          </cell>
        </row>
        <row r="588">
          <cell r="B588" t="str">
            <v>Coupling Bay10kVdouble</v>
          </cell>
          <cell r="C588" t="str">
            <v>Coupling Bay</v>
          </cell>
          <cell r="D588">
            <v>10</v>
          </cell>
          <cell r="E588" t="str">
            <v>kV</v>
          </cell>
          <cell r="F588" t="str">
            <v>double</v>
          </cell>
          <cell r="I588">
            <v>14000</v>
          </cell>
          <cell r="J588">
            <v>35</v>
          </cell>
          <cell r="K588">
            <v>0.95</v>
          </cell>
          <cell r="L588">
            <v>8</v>
          </cell>
          <cell r="M588">
            <v>0.04</v>
          </cell>
          <cell r="N588">
            <v>5</v>
          </cell>
          <cell r="O588">
            <v>14000</v>
          </cell>
        </row>
        <row r="589">
          <cell r="B589" t="str">
            <v>Coupling Bay20kVdouble</v>
          </cell>
          <cell r="C589" t="str">
            <v>Coupling Bay</v>
          </cell>
          <cell r="D589">
            <v>20</v>
          </cell>
          <cell r="E589" t="str">
            <v>kV</v>
          </cell>
          <cell r="F589" t="str">
            <v>double</v>
          </cell>
          <cell r="I589">
            <v>14000</v>
          </cell>
          <cell r="J589">
            <v>35</v>
          </cell>
          <cell r="K589">
            <v>0.95</v>
          </cell>
          <cell r="L589">
            <v>8</v>
          </cell>
          <cell r="M589">
            <v>0.04</v>
          </cell>
          <cell r="N589">
            <v>5</v>
          </cell>
          <cell r="O589">
            <v>14000</v>
          </cell>
        </row>
        <row r="590">
          <cell r="B590" t="str">
            <v>Coupling Bay20kVsingle</v>
          </cell>
          <cell r="C590" t="str">
            <v>Coupling Bay</v>
          </cell>
          <cell r="D590">
            <v>20</v>
          </cell>
          <cell r="E590" t="str">
            <v>kV</v>
          </cell>
          <cell r="F590" t="str">
            <v>single</v>
          </cell>
          <cell r="I590">
            <v>14000</v>
          </cell>
          <cell r="J590">
            <v>35</v>
          </cell>
          <cell r="K590">
            <v>0.95</v>
          </cell>
          <cell r="L590">
            <v>8</v>
          </cell>
          <cell r="M590">
            <v>0.04</v>
          </cell>
          <cell r="N590">
            <v>5</v>
          </cell>
          <cell r="O590">
            <v>14000</v>
          </cell>
        </row>
        <row r="591">
          <cell r="B591" t="str">
            <v>Coupling Bay110kVdouble</v>
          </cell>
          <cell r="C591" t="str">
            <v>Coupling Bay</v>
          </cell>
          <cell r="D591">
            <v>110</v>
          </cell>
          <cell r="E591" t="str">
            <v>kV</v>
          </cell>
          <cell r="F591" t="str">
            <v>double</v>
          </cell>
          <cell r="I591">
            <v>82000</v>
          </cell>
          <cell r="J591">
            <v>35</v>
          </cell>
          <cell r="K591">
            <v>0.95</v>
          </cell>
          <cell r="L591">
            <v>8</v>
          </cell>
          <cell r="M591">
            <v>0.04</v>
          </cell>
          <cell r="N591">
            <v>5</v>
          </cell>
          <cell r="O591">
            <v>82000</v>
          </cell>
        </row>
        <row r="592">
          <cell r="B592" t="str">
            <v>Coupling Bay110kVsingle</v>
          </cell>
          <cell r="C592" t="str">
            <v>Coupling Bay</v>
          </cell>
          <cell r="D592">
            <v>110</v>
          </cell>
          <cell r="E592" t="str">
            <v>kV</v>
          </cell>
          <cell r="F592" t="str">
            <v>single</v>
          </cell>
          <cell r="I592">
            <v>82000</v>
          </cell>
          <cell r="J592">
            <v>35</v>
          </cell>
          <cell r="K592">
            <v>0.95</v>
          </cell>
          <cell r="L592">
            <v>8</v>
          </cell>
          <cell r="M592">
            <v>0.04</v>
          </cell>
          <cell r="N592">
            <v>5</v>
          </cell>
          <cell r="O592">
            <v>82000</v>
          </cell>
        </row>
        <row r="593">
          <cell r="B593" t="str">
            <v>Coupling Bay110kVtriple</v>
          </cell>
          <cell r="C593" t="str">
            <v>Coupling Bay</v>
          </cell>
          <cell r="D593">
            <v>110</v>
          </cell>
          <cell r="E593" t="str">
            <v>kV</v>
          </cell>
          <cell r="F593" t="str">
            <v>triple</v>
          </cell>
          <cell r="I593">
            <v>105000</v>
          </cell>
          <cell r="J593">
            <v>35</v>
          </cell>
          <cell r="K593">
            <v>0.95</v>
          </cell>
          <cell r="L593">
            <v>8</v>
          </cell>
          <cell r="M593">
            <v>0.04</v>
          </cell>
          <cell r="N593">
            <v>5</v>
          </cell>
          <cell r="O593">
            <v>105000</v>
          </cell>
        </row>
        <row r="594">
          <cell r="B594" t="str">
            <v>Line Bay6kVdouble</v>
          </cell>
          <cell r="C594" t="str">
            <v>Line Bay</v>
          </cell>
          <cell r="D594">
            <v>6</v>
          </cell>
          <cell r="E594" t="str">
            <v>kV</v>
          </cell>
          <cell r="F594" t="str">
            <v>double</v>
          </cell>
          <cell r="I594">
            <v>23000</v>
          </cell>
          <cell r="J594">
            <v>35</v>
          </cell>
          <cell r="K594">
            <v>0.95</v>
          </cell>
          <cell r="L594">
            <v>8</v>
          </cell>
          <cell r="M594">
            <v>0.04</v>
          </cell>
          <cell r="N594">
            <v>5</v>
          </cell>
          <cell r="O594">
            <v>23000</v>
          </cell>
        </row>
        <row r="595">
          <cell r="B595" t="str">
            <v>Line Bay6kVsingle</v>
          </cell>
          <cell r="C595" t="str">
            <v>Line Bay</v>
          </cell>
          <cell r="D595">
            <v>6</v>
          </cell>
          <cell r="E595" t="str">
            <v>kV</v>
          </cell>
          <cell r="F595" t="str">
            <v>single</v>
          </cell>
          <cell r="I595">
            <v>21000</v>
          </cell>
          <cell r="J595">
            <v>35</v>
          </cell>
          <cell r="K595">
            <v>0.95</v>
          </cell>
          <cell r="L595">
            <v>8</v>
          </cell>
          <cell r="M595">
            <v>0.04</v>
          </cell>
          <cell r="N595">
            <v>5</v>
          </cell>
          <cell r="O595">
            <v>21000</v>
          </cell>
        </row>
        <row r="596">
          <cell r="B596" t="str">
            <v>Line Bay6kVtriple</v>
          </cell>
          <cell r="C596" t="str">
            <v>Line Bay</v>
          </cell>
          <cell r="D596">
            <v>6</v>
          </cell>
          <cell r="E596" t="str">
            <v>kV</v>
          </cell>
          <cell r="F596" t="str">
            <v>triple</v>
          </cell>
          <cell r="I596">
            <v>25000</v>
          </cell>
          <cell r="J596">
            <v>35</v>
          </cell>
          <cell r="K596">
            <v>0.95</v>
          </cell>
          <cell r="L596">
            <v>8</v>
          </cell>
          <cell r="M596">
            <v>0.04</v>
          </cell>
          <cell r="N596">
            <v>5</v>
          </cell>
          <cell r="O596">
            <v>25000</v>
          </cell>
        </row>
        <row r="597">
          <cell r="B597" t="str">
            <v>Line Bay10kVdouble</v>
          </cell>
          <cell r="C597" t="str">
            <v>Line Bay</v>
          </cell>
          <cell r="D597">
            <v>10</v>
          </cell>
          <cell r="E597" t="str">
            <v>kV</v>
          </cell>
          <cell r="F597" t="str">
            <v>double</v>
          </cell>
          <cell r="I597">
            <v>31000</v>
          </cell>
          <cell r="J597">
            <v>35</v>
          </cell>
          <cell r="K597">
            <v>0.95</v>
          </cell>
          <cell r="L597">
            <v>8</v>
          </cell>
          <cell r="M597">
            <v>0.04</v>
          </cell>
          <cell r="N597">
            <v>5</v>
          </cell>
          <cell r="O597">
            <v>31000</v>
          </cell>
        </row>
        <row r="598">
          <cell r="B598" t="str">
            <v>Line Bay10kVsingle</v>
          </cell>
          <cell r="C598" t="str">
            <v>Line Bay</v>
          </cell>
          <cell r="D598">
            <v>10</v>
          </cell>
          <cell r="E598" t="str">
            <v>kV</v>
          </cell>
          <cell r="F598" t="str">
            <v>single</v>
          </cell>
          <cell r="I598">
            <v>28000</v>
          </cell>
          <cell r="J598">
            <v>35</v>
          </cell>
          <cell r="K598">
            <v>0.95</v>
          </cell>
          <cell r="L598">
            <v>8</v>
          </cell>
          <cell r="M598">
            <v>0.04</v>
          </cell>
          <cell r="N598">
            <v>5</v>
          </cell>
          <cell r="O598">
            <v>28000</v>
          </cell>
        </row>
        <row r="599">
          <cell r="B599" t="str">
            <v>Line Bay20kVdouble</v>
          </cell>
          <cell r="C599" t="str">
            <v>Line Bay</v>
          </cell>
          <cell r="D599">
            <v>20</v>
          </cell>
          <cell r="E599" t="str">
            <v>kV</v>
          </cell>
          <cell r="F599" t="str">
            <v>double</v>
          </cell>
          <cell r="I599">
            <v>31000</v>
          </cell>
          <cell r="J599">
            <v>35</v>
          </cell>
          <cell r="K599">
            <v>0.95</v>
          </cell>
          <cell r="L599">
            <v>8</v>
          </cell>
          <cell r="M599">
            <v>0.04</v>
          </cell>
          <cell r="N599">
            <v>5</v>
          </cell>
          <cell r="O599">
            <v>31000</v>
          </cell>
        </row>
        <row r="600">
          <cell r="B600" t="str">
            <v>Line Bay20kVsingle</v>
          </cell>
          <cell r="C600" t="str">
            <v>Line Bay</v>
          </cell>
          <cell r="D600">
            <v>20</v>
          </cell>
          <cell r="E600" t="str">
            <v>kV</v>
          </cell>
          <cell r="F600" t="str">
            <v>single</v>
          </cell>
          <cell r="I600">
            <v>28000</v>
          </cell>
          <cell r="J600">
            <v>35</v>
          </cell>
          <cell r="K600">
            <v>0.95</v>
          </cell>
          <cell r="L600">
            <v>8</v>
          </cell>
          <cell r="M600">
            <v>0.04</v>
          </cell>
          <cell r="N600">
            <v>5</v>
          </cell>
          <cell r="O600">
            <v>28000</v>
          </cell>
        </row>
        <row r="601">
          <cell r="B601" t="str">
            <v>Line Bay35kVsingle</v>
          </cell>
          <cell r="C601" t="str">
            <v>Line Bay</v>
          </cell>
          <cell r="D601">
            <v>35</v>
          </cell>
          <cell r="E601" t="str">
            <v>kV</v>
          </cell>
          <cell r="F601" t="str">
            <v>single</v>
          </cell>
          <cell r="I601">
            <v>45000</v>
          </cell>
          <cell r="J601">
            <v>35</v>
          </cell>
          <cell r="K601">
            <v>0.95</v>
          </cell>
          <cell r="L601">
            <v>8</v>
          </cell>
          <cell r="M601">
            <v>0.04</v>
          </cell>
          <cell r="N601">
            <v>5</v>
          </cell>
          <cell r="O601">
            <v>45000</v>
          </cell>
        </row>
        <row r="602">
          <cell r="B602" t="str">
            <v>Line Bay110kVdouble</v>
          </cell>
          <cell r="C602" t="str">
            <v>Line Bay</v>
          </cell>
          <cell r="D602">
            <v>110</v>
          </cell>
          <cell r="E602" t="str">
            <v>kV</v>
          </cell>
          <cell r="F602" t="str">
            <v>double</v>
          </cell>
          <cell r="I602">
            <v>110000</v>
          </cell>
          <cell r="J602">
            <v>35</v>
          </cell>
          <cell r="K602">
            <v>0.95</v>
          </cell>
          <cell r="L602">
            <v>8</v>
          </cell>
          <cell r="M602">
            <v>0.04</v>
          </cell>
          <cell r="N602">
            <v>5</v>
          </cell>
          <cell r="O602">
            <v>110000</v>
          </cell>
        </row>
        <row r="603">
          <cell r="B603" t="str">
            <v>Line Bay110kVsingle</v>
          </cell>
          <cell r="C603" t="str">
            <v>Line Bay</v>
          </cell>
          <cell r="D603">
            <v>110</v>
          </cell>
          <cell r="E603" t="str">
            <v>kV</v>
          </cell>
          <cell r="F603" t="str">
            <v>single</v>
          </cell>
          <cell r="I603">
            <v>100000</v>
          </cell>
          <cell r="J603">
            <v>35</v>
          </cell>
          <cell r="K603">
            <v>0.95</v>
          </cell>
          <cell r="L603">
            <v>8</v>
          </cell>
          <cell r="M603">
            <v>0.04</v>
          </cell>
          <cell r="N603">
            <v>5</v>
          </cell>
          <cell r="O603">
            <v>100000</v>
          </cell>
        </row>
        <row r="604">
          <cell r="B604" t="str">
            <v>Line Bay110kVtriple</v>
          </cell>
          <cell r="C604" t="str">
            <v>Line Bay</v>
          </cell>
          <cell r="D604">
            <v>110</v>
          </cell>
          <cell r="E604" t="str">
            <v>kV</v>
          </cell>
          <cell r="F604" t="str">
            <v>triple</v>
          </cell>
          <cell r="I604">
            <v>120000</v>
          </cell>
          <cell r="J604">
            <v>35</v>
          </cell>
          <cell r="K604">
            <v>0.95</v>
          </cell>
          <cell r="L604">
            <v>8</v>
          </cell>
          <cell r="M604">
            <v>0.04</v>
          </cell>
          <cell r="N604">
            <v>5</v>
          </cell>
          <cell r="O604">
            <v>120000</v>
          </cell>
        </row>
        <row r="605">
          <cell r="B605" t="str">
            <v>Measuring Bay6kVdouble</v>
          </cell>
          <cell r="C605" t="str">
            <v>Measuring Bay</v>
          </cell>
          <cell r="D605">
            <v>6</v>
          </cell>
          <cell r="E605" t="str">
            <v>kV</v>
          </cell>
          <cell r="F605" t="str">
            <v>double</v>
          </cell>
          <cell r="I605">
            <v>10500</v>
          </cell>
          <cell r="J605">
            <v>30</v>
          </cell>
          <cell r="K605">
            <v>0.95</v>
          </cell>
          <cell r="L605">
            <v>7</v>
          </cell>
          <cell r="M605">
            <v>0.04</v>
          </cell>
          <cell r="N605">
            <v>5</v>
          </cell>
          <cell r="O605">
            <v>10500</v>
          </cell>
        </row>
        <row r="606">
          <cell r="B606" t="str">
            <v>Measuring Bay6kVsingle</v>
          </cell>
          <cell r="C606" t="str">
            <v>Measuring Bay</v>
          </cell>
          <cell r="D606">
            <v>6</v>
          </cell>
          <cell r="E606" t="str">
            <v>kV</v>
          </cell>
          <cell r="F606" t="str">
            <v>single</v>
          </cell>
          <cell r="I606">
            <v>10500</v>
          </cell>
          <cell r="J606">
            <v>30</v>
          </cell>
          <cell r="K606">
            <v>0.95</v>
          </cell>
          <cell r="L606">
            <v>7</v>
          </cell>
          <cell r="M606">
            <v>0.04</v>
          </cell>
          <cell r="N606">
            <v>5</v>
          </cell>
          <cell r="O606">
            <v>10500</v>
          </cell>
        </row>
        <row r="607">
          <cell r="B607" t="str">
            <v>Measuring Bay6kVtriple</v>
          </cell>
          <cell r="C607" t="str">
            <v>Measuring Bay</v>
          </cell>
          <cell r="D607">
            <v>6</v>
          </cell>
          <cell r="E607" t="str">
            <v>kV</v>
          </cell>
          <cell r="F607" t="str">
            <v>triple</v>
          </cell>
          <cell r="I607">
            <v>10500</v>
          </cell>
          <cell r="J607">
            <v>30</v>
          </cell>
          <cell r="K607">
            <v>0.95</v>
          </cell>
          <cell r="L607">
            <v>7</v>
          </cell>
          <cell r="M607">
            <v>0.04</v>
          </cell>
          <cell r="N607">
            <v>5</v>
          </cell>
          <cell r="O607">
            <v>10500</v>
          </cell>
        </row>
        <row r="608">
          <cell r="B608" t="str">
            <v>Measuring Bay10kVdouble</v>
          </cell>
          <cell r="C608" t="str">
            <v>Measuring Bay</v>
          </cell>
          <cell r="D608">
            <v>10</v>
          </cell>
          <cell r="E608" t="str">
            <v>kV</v>
          </cell>
          <cell r="F608" t="str">
            <v>double</v>
          </cell>
          <cell r="I608">
            <v>14000</v>
          </cell>
          <cell r="J608">
            <v>30</v>
          </cell>
          <cell r="K608">
            <v>0.95</v>
          </cell>
          <cell r="L608">
            <v>7</v>
          </cell>
          <cell r="M608">
            <v>0.04</v>
          </cell>
          <cell r="N608">
            <v>5</v>
          </cell>
          <cell r="O608">
            <v>14000</v>
          </cell>
        </row>
        <row r="609">
          <cell r="B609" t="str">
            <v>Measuring Bay10kVsingle</v>
          </cell>
          <cell r="C609" t="str">
            <v>Measuring Bay</v>
          </cell>
          <cell r="D609">
            <v>10</v>
          </cell>
          <cell r="E609" t="str">
            <v>kV</v>
          </cell>
          <cell r="F609" t="str">
            <v>single</v>
          </cell>
          <cell r="I609">
            <v>14000</v>
          </cell>
          <cell r="J609">
            <v>30</v>
          </cell>
          <cell r="K609">
            <v>0.95</v>
          </cell>
          <cell r="L609">
            <v>7</v>
          </cell>
          <cell r="M609">
            <v>0.04</v>
          </cell>
          <cell r="N609">
            <v>5</v>
          </cell>
          <cell r="O609">
            <v>14000</v>
          </cell>
        </row>
        <row r="610">
          <cell r="B610" t="str">
            <v>Measuring Bay20kVdouble</v>
          </cell>
          <cell r="C610" t="str">
            <v>Measuring Bay</v>
          </cell>
          <cell r="D610">
            <v>20</v>
          </cell>
          <cell r="E610" t="str">
            <v>kV</v>
          </cell>
          <cell r="F610" t="str">
            <v>double</v>
          </cell>
          <cell r="I610">
            <v>14000</v>
          </cell>
          <cell r="J610">
            <v>30</v>
          </cell>
          <cell r="K610">
            <v>0.95</v>
          </cell>
          <cell r="L610">
            <v>7</v>
          </cell>
          <cell r="M610">
            <v>0.04</v>
          </cell>
          <cell r="N610">
            <v>5</v>
          </cell>
          <cell r="O610">
            <v>14000</v>
          </cell>
        </row>
        <row r="611">
          <cell r="B611" t="str">
            <v>Measuring Bay20kVsingle</v>
          </cell>
          <cell r="C611" t="str">
            <v>Measuring Bay</v>
          </cell>
          <cell r="D611">
            <v>20</v>
          </cell>
          <cell r="E611" t="str">
            <v>kV</v>
          </cell>
          <cell r="F611" t="str">
            <v>single</v>
          </cell>
          <cell r="I611">
            <v>14000</v>
          </cell>
          <cell r="J611">
            <v>30</v>
          </cell>
          <cell r="K611">
            <v>0.95</v>
          </cell>
          <cell r="L611">
            <v>7</v>
          </cell>
          <cell r="M611">
            <v>0.04</v>
          </cell>
          <cell r="N611">
            <v>5</v>
          </cell>
          <cell r="O611">
            <v>14000</v>
          </cell>
        </row>
        <row r="612">
          <cell r="B612" t="str">
            <v>Measuring Bay35kVsingle</v>
          </cell>
          <cell r="C612" t="str">
            <v>Measuring Bay</v>
          </cell>
          <cell r="D612">
            <v>35</v>
          </cell>
          <cell r="E612" t="str">
            <v>kV</v>
          </cell>
          <cell r="F612" t="str">
            <v>single</v>
          </cell>
          <cell r="I612">
            <v>4500</v>
          </cell>
          <cell r="J612">
            <v>30</v>
          </cell>
          <cell r="K612">
            <v>0.95</v>
          </cell>
          <cell r="L612">
            <v>7</v>
          </cell>
          <cell r="M612">
            <v>0.04</v>
          </cell>
          <cell r="N612">
            <v>5</v>
          </cell>
          <cell r="O612">
            <v>4500</v>
          </cell>
        </row>
        <row r="613">
          <cell r="B613" t="str">
            <v>Measuring Bay110kVdouble</v>
          </cell>
          <cell r="C613" t="str">
            <v>Measuring Bay</v>
          </cell>
          <cell r="D613">
            <v>110</v>
          </cell>
          <cell r="E613" t="str">
            <v>kV</v>
          </cell>
          <cell r="F613" t="str">
            <v>double</v>
          </cell>
          <cell r="I613">
            <v>17000</v>
          </cell>
          <cell r="J613">
            <v>30</v>
          </cell>
          <cell r="K613">
            <v>0.95</v>
          </cell>
          <cell r="L613">
            <v>7</v>
          </cell>
          <cell r="M613">
            <v>0.04</v>
          </cell>
          <cell r="N613">
            <v>5</v>
          </cell>
          <cell r="O613">
            <v>17000</v>
          </cell>
        </row>
        <row r="614">
          <cell r="B614" t="str">
            <v>Measuring Bay110kVsingle</v>
          </cell>
          <cell r="C614" t="str">
            <v>Measuring Bay</v>
          </cell>
          <cell r="D614">
            <v>110</v>
          </cell>
          <cell r="E614" t="str">
            <v>kV</v>
          </cell>
          <cell r="F614" t="str">
            <v>single</v>
          </cell>
          <cell r="I614">
            <v>17000</v>
          </cell>
          <cell r="J614">
            <v>30</v>
          </cell>
          <cell r="K614">
            <v>0.95</v>
          </cell>
          <cell r="L614">
            <v>7</v>
          </cell>
          <cell r="M614">
            <v>0.04</v>
          </cell>
          <cell r="N614">
            <v>5</v>
          </cell>
          <cell r="O614">
            <v>17000</v>
          </cell>
        </row>
        <row r="615">
          <cell r="B615" t="str">
            <v>Measuring Bay110kVtriple</v>
          </cell>
          <cell r="C615" t="str">
            <v>Measuring Bay</v>
          </cell>
          <cell r="D615">
            <v>110</v>
          </cell>
          <cell r="E615" t="str">
            <v>kV</v>
          </cell>
          <cell r="F615" t="str">
            <v>triple</v>
          </cell>
          <cell r="I615">
            <v>17000</v>
          </cell>
          <cell r="J615">
            <v>30</v>
          </cell>
          <cell r="K615">
            <v>0.95</v>
          </cell>
          <cell r="L615">
            <v>7</v>
          </cell>
          <cell r="M615">
            <v>0.04</v>
          </cell>
          <cell r="N615">
            <v>5</v>
          </cell>
          <cell r="O615">
            <v>17000</v>
          </cell>
        </row>
        <row r="616">
          <cell r="B616" t="str">
            <v>Power Transformer6kV1000</v>
          </cell>
          <cell r="C616" t="str">
            <v>Power Transformer</v>
          </cell>
          <cell r="D616">
            <v>6</v>
          </cell>
          <cell r="E616" t="str">
            <v>kV</v>
          </cell>
          <cell r="F616">
            <v>1000</v>
          </cell>
          <cell r="I616">
            <v>12000</v>
          </cell>
          <cell r="J616">
            <v>35</v>
          </cell>
          <cell r="K616">
            <v>0.95</v>
          </cell>
          <cell r="L616">
            <v>8</v>
          </cell>
          <cell r="M616">
            <v>0.04</v>
          </cell>
          <cell r="N616">
            <v>5</v>
          </cell>
          <cell r="O616">
            <v>16000</v>
          </cell>
          <cell r="P616">
            <v>0.25</v>
          </cell>
        </row>
        <row r="617">
          <cell r="B617" t="str">
            <v>Power Transformer20kV1600</v>
          </cell>
          <cell r="C617" t="str">
            <v>Power Transformer</v>
          </cell>
          <cell r="D617">
            <v>20</v>
          </cell>
          <cell r="E617" t="str">
            <v>kV</v>
          </cell>
          <cell r="F617">
            <v>1600</v>
          </cell>
          <cell r="I617">
            <v>18000</v>
          </cell>
          <cell r="J617">
            <v>35</v>
          </cell>
          <cell r="K617">
            <v>0.95</v>
          </cell>
          <cell r="L617">
            <v>8</v>
          </cell>
          <cell r="M617">
            <v>0.04</v>
          </cell>
          <cell r="N617">
            <v>5</v>
          </cell>
          <cell r="O617">
            <v>24000</v>
          </cell>
          <cell r="P617">
            <v>0.25</v>
          </cell>
        </row>
        <row r="618">
          <cell r="B618" t="str">
            <v>Power Transformer20kV5000</v>
          </cell>
          <cell r="C618" t="str">
            <v>Power Transformer</v>
          </cell>
          <cell r="D618">
            <v>20</v>
          </cell>
          <cell r="E618" t="str">
            <v>kV</v>
          </cell>
          <cell r="F618">
            <v>5000</v>
          </cell>
          <cell r="I618">
            <v>30000</v>
          </cell>
          <cell r="J618">
            <v>35</v>
          </cell>
          <cell r="K618">
            <v>0.95</v>
          </cell>
          <cell r="L618">
            <v>8</v>
          </cell>
          <cell r="M618">
            <v>0.04</v>
          </cell>
          <cell r="N618">
            <v>5</v>
          </cell>
          <cell r="O618">
            <v>40000</v>
          </cell>
          <cell r="P618">
            <v>0.25</v>
          </cell>
        </row>
        <row r="619">
          <cell r="B619" t="str">
            <v>Power Transformer20kV10000</v>
          </cell>
          <cell r="C619" t="str">
            <v>Power Transformer</v>
          </cell>
          <cell r="D619">
            <v>20</v>
          </cell>
          <cell r="E619" t="str">
            <v>kV</v>
          </cell>
          <cell r="F619">
            <v>10000</v>
          </cell>
          <cell r="I619">
            <v>75000</v>
          </cell>
          <cell r="J619">
            <v>35</v>
          </cell>
          <cell r="K619">
            <v>0.95</v>
          </cell>
          <cell r="L619">
            <v>8</v>
          </cell>
          <cell r="M619">
            <v>0.04</v>
          </cell>
          <cell r="N619">
            <v>5</v>
          </cell>
          <cell r="O619">
            <v>100000</v>
          </cell>
          <cell r="P619">
            <v>0.25</v>
          </cell>
        </row>
        <row r="620">
          <cell r="B620" t="str">
            <v>Power Transformer110kV10000</v>
          </cell>
          <cell r="C620" t="str">
            <v>Power Transformer</v>
          </cell>
          <cell r="D620">
            <v>110</v>
          </cell>
          <cell r="E620" t="str">
            <v>kV</v>
          </cell>
          <cell r="F620">
            <v>10000</v>
          </cell>
          <cell r="I620">
            <v>87000</v>
          </cell>
          <cell r="J620">
            <v>35</v>
          </cell>
          <cell r="K620">
            <v>0.95</v>
          </cell>
          <cell r="L620">
            <v>8</v>
          </cell>
          <cell r="M620">
            <v>0.04</v>
          </cell>
          <cell r="N620">
            <v>5</v>
          </cell>
          <cell r="O620">
            <v>116000</v>
          </cell>
          <cell r="P620">
            <v>0.25</v>
          </cell>
        </row>
        <row r="621">
          <cell r="B621" t="str">
            <v>Power Transformer110kV25000</v>
          </cell>
          <cell r="C621" t="str">
            <v>Power Transformer</v>
          </cell>
          <cell r="D621">
            <v>110</v>
          </cell>
          <cell r="E621" t="str">
            <v>kV</v>
          </cell>
          <cell r="F621">
            <v>25000</v>
          </cell>
          <cell r="I621">
            <v>210000</v>
          </cell>
          <cell r="J621">
            <v>35</v>
          </cell>
          <cell r="K621">
            <v>0.95</v>
          </cell>
          <cell r="L621">
            <v>8</v>
          </cell>
          <cell r="M621">
            <v>0.04</v>
          </cell>
          <cell r="N621">
            <v>5</v>
          </cell>
          <cell r="O621">
            <v>280000</v>
          </cell>
          <cell r="P621">
            <v>0.25</v>
          </cell>
        </row>
        <row r="622">
          <cell r="B622" t="str">
            <v>Power Transformer110kV40000</v>
          </cell>
          <cell r="C622" t="str">
            <v>Power Transformer</v>
          </cell>
          <cell r="D622">
            <v>110</v>
          </cell>
          <cell r="E622" t="str">
            <v>kV</v>
          </cell>
          <cell r="F622">
            <v>40000</v>
          </cell>
          <cell r="I622">
            <v>297000</v>
          </cell>
          <cell r="J622">
            <v>35</v>
          </cell>
          <cell r="K622">
            <v>0.95</v>
          </cell>
          <cell r="L622">
            <v>8</v>
          </cell>
          <cell r="M622">
            <v>0.04</v>
          </cell>
          <cell r="N622">
            <v>5</v>
          </cell>
          <cell r="O622">
            <v>396000</v>
          </cell>
          <cell r="P622">
            <v>0.25</v>
          </cell>
        </row>
        <row r="623">
          <cell r="B623" t="str">
            <v>Power Transformer100/20kV16000</v>
          </cell>
          <cell r="C623" t="str">
            <v>Power Transformer</v>
          </cell>
          <cell r="D623" t="str">
            <v>100/20</v>
          </cell>
          <cell r="E623" t="str">
            <v>kV</v>
          </cell>
          <cell r="F623">
            <v>16000</v>
          </cell>
          <cell r="I623">
            <v>135000</v>
          </cell>
          <cell r="J623">
            <v>35</v>
          </cell>
          <cell r="K623">
            <v>0.95</v>
          </cell>
          <cell r="L623">
            <v>8</v>
          </cell>
          <cell r="M623">
            <v>0.04</v>
          </cell>
          <cell r="N623">
            <v>5</v>
          </cell>
          <cell r="O623">
            <v>180000</v>
          </cell>
          <cell r="P623">
            <v>0.25</v>
          </cell>
        </row>
        <row r="624">
          <cell r="B624" t="str">
            <v>Power Transformer100/20/6kV16000</v>
          </cell>
          <cell r="C624" t="str">
            <v>Power Transformer</v>
          </cell>
          <cell r="D624" t="str">
            <v>100/20/6</v>
          </cell>
          <cell r="E624" t="str">
            <v>kV</v>
          </cell>
          <cell r="F624">
            <v>16000</v>
          </cell>
          <cell r="I624">
            <v>135000</v>
          </cell>
          <cell r="J624">
            <v>35</v>
          </cell>
          <cell r="K624">
            <v>0.95</v>
          </cell>
          <cell r="L624">
            <v>8</v>
          </cell>
          <cell r="M624">
            <v>0.04</v>
          </cell>
          <cell r="N624">
            <v>5</v>
          </cell>
          <cell r="O624">
            <v>180000</v>
          </cell>
          <cell r="P624">
            <v>0.25</v>
          </cell>
        </row>
        <row r="625">
          <cell r="B625" t="str">
            <v>Power Transformer110/10kV10000</v>
          </cell>
          <cell r="C625" t="str">
            <v>Power Transformer</v>
          </cell>
          <cell r="D625" t="str">
            <v>110/10</v>
          </cell>
          <cell r="E625" t="str">
            <v>kV</v>
          </cell>
          <cell r="F625">
            <v>10000</v>
          </cell>
          <cell r="I625">
            <v>87000</v>
          </cell>
          <cell r="J625">
            <v>35</v>
          </cell>
          <cell r="K625">
            <v>0.95</v>
          </cell>
          <cell r="L625">
            <v>8</v>
          </cell>
          <cell r="M625">
            <v>0.04</v>
          </cell>
          <cell r="N625">
            <v>5</v>
          </cell>
          <cell r="O625">
            <v>116000</v>
          </cell>
          <cell r="P625">
            <v>0.25</v>
          </cell>
        </row>
        <row r="626">
          <cell r="B626" t="str">
            <v>Power Transformer110/20kV10000</v>
          </cell>
          <cell r="C626" t="str">
            <v>Power Transformer</v>
          </cell>
          <cell r="D626" t="str">
            <v>110/20</v>
          </cell>
          <cell r="E626" t="str">
            <v>kV</v>
          </cell>
          <cell r="F626">
            <v>10000</v>
          </cell>
          <cell r="I626">
            <v>87000</v>
          </cell>
          <cell r="J626">
            <v>35</v>
          </cell>
          <cell r="K626">
            <v>0.95</v>
          </cell>
          <cell r="L626">
            <v>8</v>
          </cell>
          <cell r="M626">
            <v>0.04</v>
          </cell>
          <cell r="N626">
            <v>5</v>
          </cell>
          <cell r="O626">
            <v>116000</v>
          </cell>
          <cell r="P626">
            <v>0.25</v>
          </cell>
        </row>
        <row r="627">
          <cell r="B627" t="str">
            <v>Power Transformer110/20kV16000</v>
          </cell>
          <cell r="C627" t="str">
            <v>Power Transformer</v>
          </cell>
          <cell r="D627" t="str">
            <v>110/20</v>
          </cell>
          <cell r="E627" t="str">
            <v>kV</v>
          </cell>
          <cell r="F627">
            <v>16000</v>
          </cell>
          <cell r="I627">
            <v>135000</v>
          </cell>
          <cell r="J627">
            <v>35</v>
          </cell>
          <cell r="K627">
            <v>0.95</v>
          </cell>
          <cell r="L627">
            <v>8</v>
          </cell>
          <cell r="M627">
            <v>0.04</v>
          </cell>
          <cell r="N627">
            <v>5</v>
          </cell>
          <cell r="O627">
            <v>180000</v>
          </cell>
          <cell r="P627">
            <v>0.25</v>
          </cell>
        </row>
        <row r="628">
          <cell r="B628" t="str">
            <v>Power Transformer110/20kV20000</v>
          </cell>
          <cell r="C628" t="str">
            <v>Power Transformer</v>
          </cell>
          <cell r="D628" t="str">
            <v>110/20</v>
          </cell>
          <cell r="E628" t="str">
            <v>kV</v>
          </cell>
          <cell r="F628">
            <v>20000</v>
          </cell>
          <cell r="I628">
            <v>166500</v>
          </cell>
          <cell r="J628">
            <v>35</v>
          </cell>
          <cell r="K628">
            <v>0.95</v>
          </cell>
          <cell r="L628">
            <v>8</v>
          </cell>
          <cell r="M628">
            <v>0.04</v>
          </cell>
          <cell r="N628">
            <v>5</v>
          </cell>
          <cell r="O628">
            <v>222000</v>
          </cell>
          <cell r="P628">
            <v>0.25</v>
          </cell>
        </row>
        <row r="629">
          <cell r="B629" t="str">
            <v>Power Transformer110/20kV25000</v>
          </cell>
          <cell r="C629" t="str">
            <v>Power Transformer</v>
          </cell>
          <cell r="D629" t="str">
            <v>110/20</v>
          </cell>
          <cell r="E629" t="str">
            <v>kV</v>
          </cell>
          <cell r="F629">
            <v>25000</v>
          </cell>
          <cell r="I629">
            <v>210000</v>
          </cell>
          <cell r="J629">
            <v>35</v>
          </cell>
          <cell r="K629">
            <v>0.95</v>
          </cell>
          <cell r="L629">
            <v>8</v>
          </cell>
          <cell r="M629">
            <v>0.04</v>
          </cell>
          <cell r="N629">
            <v>5</v>
          </cell>
          <cell r="O629">
            <v>280000</v>
          </cell>
          <cell r="P629">
            <v>0.25</v>
          </cell>
        </row>
        <row r="630">
          <cell r="B630" t="str">
            <v>Power Transformer110/20/10kV16000</v>
          </cell>
          <cell r="C630" t="str">
            <v>Power Transformer</v>
          </cell>
          <cell r="D630" t="str">
            <v>110/20/10</v>
          </cell>
          <cell r="E630" t="str">
            <v>kV</v>
          </cell>
          <cell r="F630">
            <v>16000</v>
          </cell>
          <cell r="I630">
            <v>135000</v>
          </cell>
          <cell r="J630">
            <v>35</v>
          </cell>
          <cell r="K630">
            <v>0.95</v>
          </cell>
          <cell r="L630">
            <v>8</v>
          </cell>
          <cell r="M630">
            <v>0.04</v>
          </cell>
          <cell r="N630">
            <v>5</v>
          </cell>
          <cell r="O630">
            <v>180000</v>
          </cell>
          <cell r="P630">
            <v>0.25</v>
          </cell>
        </row>
        <row r="631">
          <cell r="B631" t="str">
            <v>Power Transformer110/20/10kV25000</v>
          </cell>
          <cell r="C631" t="str">
            <v>Power Transformer</v>
          </cell>
          <cell r="D631" t="str">
            <v>110/20/10</v>
          </cell>
          <cell r="E631" t="str">
            <v>kV</v>
          </cell>
          <cell r="F631">
            <v>25000</v>
          </cell>
          <cell r="I631">
            <v>210000</v>
          </cell>
          <cell r="J631">
            <v>35</v>
          </cell>
          <cell r="K631">
            <v>0.95</v>
          </cell>
          <cell r="L631">
            <v>8</v>
          </cell>
          <cell r="M631">
            <v>0.04</v>
          </cell>
          <cell r="N631">
            <v>5</v>
          </cell>
          <cell r="O631">
            <v>280000</v>
          </cell>
          <cell r="P631">
            <v>0.25</v>
          </cell>
        </row>
        <row r="632">
          <cell r="B632" t="str">
            <v>Power Transformer110/20/10/6kV25000</v>
          </cell>
          <cell r="C632" t="str">
            <v>Power Transformer</v>
          </cell>
          <cell r="D632" t="str">
            <v>110/20/10/6</v>
          </cell>
          <cell r="E632" t="str">
            <v>kV</v>
          </cell>
          <cell r="F632">
            <v>25000</v>
          </cell>
          <cell r="I632">
            <v>210000</v>
          </cell>
          <cell r="J632">
            <v>35</v>
          </cell>
          <cell r="K632">
            <v>0.95</v>
          </cell>
          <cell r="L632">
            <v>8</v>
          </cell>
          <cell r="M632">
            <v>0.04</v>
          </cell>
          <cell r="N632">
            <v>5</v>
          </cell>
          <cell r="O632">
            <v>280000</v>
          </cell>
          <cell r="P632">
            <v>0.25</v>
          </cell>
        </row>
        <row r="633">
          <cell r="B633" t="str">
            <v>Power Transformer110/20/6kV10000</v>
          </cell>
          <cell r="C633" t="str">
            <v>Power Transformer</v>
          </cell>
          <cell r="D633" t="str">
            <v>110/20/6</v>
          </cell>
          <cell r="E633" t="str">
            <v>kV</v>
          </cell>
          <cell r="F633">
            <v>10000</v>
          </cell>
          <cell r="I633">
            <v>87000</v>
          </cell>
          <cell r="J633">
            <v>35</v>
          </cell>
          <cell r="K633">
            <v>0.95</v>
          </cell>
          <cell r="L633">
            <v>8</v>
          </cell>
          <cell r="M633">
            <v>0.04</v>
          </cell>
          <cell r="N633">
            <v>5</v>
          </cell>
          <cell r="O633">
            <v>116000</v>
          </cell>
          <cell r="P633">
            <v>0.25</v>
          </cell>
        </row>
        <row r="634">
          <cell r="B634" t="str">
            <v>Power Transformer110/20/6kV16000</v>
          </cell>
          <cell r="C634" t="str">
            <v>Power Transformer</v>
          </cell>
          <cell r="D634" t="str">
            <v>110/20/6</v>
          </cell>
          <cell r="E634" t="str">
            <v>kV</v>
          </cell>
          <cell r="F634">
            <v>16000</v>
          </cell>
          <cell r="I634">
            <v>135000</v>
          </cell>
          <cell r="J634">
            <v>35</v>
          </cell>
          <cell r="K634">
            <v>0.95</v>
          </cell>
          <cell r="L634">
            <v>8</v>
          </cell>
          <cell r="M634">
            <v>0.04</v>
          </cell>
          <cell r="N634">
            <v>5</v>
          </cell>
          <cell r="O634">
            <v>180000</v>
          </cell>
          <cell r="P634">
            <v>0.25</v>
          </cell>
        </row>
        <row r="635">
          <cell r="B635" t="str">
            <v>Power Transformer110/20/6kV25000</v>
          </cell>
          <cell r="C635" t="str">
            <v>Power Transformer</v>
          </cell>
          <cell r="D635" t="str">
            <v>110/20/6</v>
          </cell>
          <cell r="E635" t="str">
            <v>kV</v>
          </cell>
          <cell r="F635">
            <v>25000</v>
          </cell>
          <cell r="I635">
            <v>210000</v>
          </cell>
          <cell r="J635">
            <v>35</v>
          </cell>
          <cell r="K635">
            <v>0.95</v>
          </cell>
          <cell r="L635">
            <v>8</v>
          </cell>
          <cell r="M635">
            <v>0.04</v>
          </cell>
          <cell r="N635">
            <v>5</v>
          </cell>
          <cell r="O635">
            <v>280000</v>
          </cell>
          <cell r="P635">
            <v>0.25</v>
          </cell>
        </row>
        <row r="636">
          <cell r="B636" t="str">
            <v>Power Transformer110/25kV25000</v>
          </cell>
          <cell r="C636" t="str">
            <v>Power Transformer</v>
          </cell>
          <cell r="D636" t="str">
            <v>110/25</v>
          </cell>
          <cell r="E636" t="str">
            <v>kV</v>
          </cell>
          <cell r="F636">
            <v>25000</v>
          </cell>
          <cell r="I636">
            <v>210000</v>
          </cell>
          <cell r="J636">
            <v>35</v>
          </cell>
          <cell r="K636">
            <v>0.95</v>
          </cell>
          <cell r="L636">
            <v>8</v>
          </cell>
          <cell r="M636">
            <v>0.04</v>
          </cell>
          <cell r="N636">
            <v>5</v>
          </cell>
          <cell r="O636">
            <v>280000</v>
          </cell>
          <cell r="P636">
            <v>0.25</v>
          </cell>
        </row>
        <row r="637">
          <cell r="B637" t="str">
            <v>Power Transformer110/6kV16000</v>
          </cell>
          <cell r="C637" t="str">
            <v>Power Transformer</v>
          </cell>
          <cell r="D637" t="str">
            <v>110/6</v>
          </cell>
          <cell r="E637" t="str">
            <v>kV</v>
          </cell>
          <cell r="F637">
            <v>16000</v>
          </cell>
          <cell r="I637">
            <v>135000</v>
          </cell>
          <cell r="J637">
            <v>35</v>
          </cell>
          <cell r="K637">
            <v>0.95</v>
          </cell>
          <cell r="L637">
            <v>8</v>
          </cell>
          <cell r="M637">
            <v>0.04</v>
          </cell>
          <cell r="N637">
            <v>5</v>
          </cell>
          <cell r="O637">
            <v>180000</v>
          </cell>
          <cell r="P637">
            <v>0.25</v>
          </cell>
        </row>
        <row r="638">
          <cell r="B638" t="str">
            <v>Power Transformer110/6kV25000</v>
          </cell>
          <cell r="C638" t="str">
            <v>Power Transformer</v>
          </cell>
          <cell r="D638" t="str">
            <v>110/6</v>
          </cell>
          <cell r="E638" t="str">
            <v>kV</v>
          </cell>
          <cell r="F638">
            <v>25000</v>
          </cell>
          <cell r="I638">
            <v>210000</v>
          </cell>
          <cell r="J638">
            <v>35</v>
          </cell>
          <cell r="K638">
            <v>0.95</v>
          </cell>
          <cell r="L638">
            <v>8</v>
          </cell>
          <cell r="M638">
            <v>0.04</v>
          </cell>
          <cell r="N638">
            <v>5</v>
          </cell>
          <cell r="O638">
            <v>280000</v>
          </cell>
          <cell r="P638">
            <v>0.25</v>
          </cell>
        </row>
        <row r="639">
          <cell r="B639" t="str">
            <v>Power Transformer110/6kV40000</v>
          </cell>
          <cell r="C639" t="str">
            <v>Power Transformer</v>
          </cell>
          <cell r="D639" t="str">
            <v>110/6</v>
          </cell>
          <cell r="E639" t="str">
            <v>kV</v>
          </cell>
          <cell r="F639">
            <v>40000</v>
          </cell>
          <cell r="I639">
            <v>297000</v>
          </cell>
          <cell r="J639">
            <v>35</v>
          </cell>
          <cell r="K639">
            <v>0.95</v>
          </cell>
          <cell r="L639">
            <v>8</v>
          </cell>
          <cell r="M639">
            <v>0.04</v>
          </cell>
          <cell r="N639">
            <v>5</v>
          </cell>
          <cell r="O639">
            <v>396000</v>
          </cell>
          <cell r="P639">
            <v>0.25</v>
          </cell>
        </row>
        <row r="640">
          <cell r="B640" t="str">
            <v>Power Transformer111/20kV16000</v>
          </cell>
          <cell r="C640" t="str">
            <v>Power Transformer</v>
          </cell>
          <cell r="D640" t="str">
            <v>111/20</v>
          </cell>
          <cell r="E640" t="str">
            <v>kV</v>
          </cell>
          <cell r="F640">
            <v>16000</v>
          </cell>
          <cell r="I640">
            <v>135000</v>
          </cell>
          <cell r="J640">
            <v>35</v>
          </cell>
          <cell r="K640">
            <v>0.95</v>
          </cell>
          <cell r="L640">
            <v>8</v>
          </cell>
          <cell r="M640">
            <v>0.04</v>
          </cell>
          <cell r="N640">
            <v>5</v>
          </cell>
          <cell r="O640">
            <v>180000</v>
          </cell>
          <cell r="P640">
            <v>0.25</v>
          </cell>
        </row>
        <row r="641">
          <cell r="B641" t="str">
            <v>Power Transformer20/10kV6300</v>
          </cell>
          <cell r="C641" t="str">
            <v>Power Transformer</v>
          </cell>
          <cell r="D641" t="str">
            <v>20/10</v>
          </cell>
          <cell r="E641" t="str">
            <v>kV</v>
          </cell>
          <cell r="F641">
            <v>6300</v>
          </cell>
          <cell r="I641">
            <v>67500</v>
          </cell>
          <cell r="J641">
            <v>35</v>
          </cell>
          <cell r="K641">
            <v>0.95</v>
          </cell>
          <cell r="L641">
            <v>8</v>
          </cell>
          <cell r="M641">
            <v>0.04</v>
          </cell>
          <cell r="N641">
            <v>5</v>
          </cell>
          <cell r="O641">
            <v>90000</v>
          </cell>
          <cell r="P641">
            <v>0.25</v>
          </cell>
        </row>
        <row r="642">
          <cell r="B642" t="str">
            <v>Power Transformer20/10kV10000</v>
          </cell>
          <cell r="C642" t="str">
            <v>Power Transformer</v>
          </cell>
          <cell r="D642" t="str">
            <v>20/10</v>
          </cell>
          <cell r="E642" t="str">
            <v>kV</v>
          </cell>
          <cell r="F642">
            <v>10000</v>
          </cell>
          <cell r="I642">
            <v>75000</v>
          </cell>
          <cell r="J642">
            <v>35</v>
          </cell>
          <cell r="K642">
            <v>0.95</v>
          </cell>
          <cell r="L642">
            <v>8</v>
          </cell>
          <cell r="M642">
            <v>0.04</v>
          </cell>
          <cell r="N642">
            <v>5</v>
          </cell>
          <cell r="O642">
            <v>100000</v>
          </cell>
          <cell r="P642">
            <v>0.25</v>
          </cell>
        </row>
        <row r="643">
          <cell r="B643" t="str">
            <v>Power Transformer20/10/6kV6300</v>
          </cell>
          <cell r="C643" t="str">
            <v>Power Transformer</v>
          </cell>
          <cell r="D643" t="str">
            <v>20/10/6</v>
          </cell>
          <cell r="E643" t="str">
            <v>kV</v>
          </cell>
          <cell r="F643">
            <v>6300</v>
          </cell>
          <cell r="I643">
            <v>67500</v>
          </cell>
          <cell r="J643">
            <v>35</v>
          </cell>
          <cell r="K643">
            <v>0.95</v>
          </cell>
          <cell r="L643">
            <v>8</v>
          </cell>
          <cell r="M643">
            <v>0.04</v>
          </cell>
          <cell r="N643">
            <v>5</v>
          </cell>
          <cell r="O643">
            <v>90000</v>
          </cell>
          <cell r="P643">
            <v>0.25</v>
          </cell>
        </row>
        <row r="644">
          <cell r="B644" t="str">
            <v>Power Transformer20/10/6kV16000</v>
          </cell>
          <cell r="C644" t="str">
            <v>Power Transformer</v>
          </cell>
          <cell r="D644" t="str">
            <v>20/10/6</v>
          </cell>
          <cell r="E644" t="str">
            <v>kV</v>
          </cell>
          <cell r="F644">
            <v>16000</v>
          </cell>
          <cell r="I644">
            <v>135000</v>
          </cell>
          <cell r="J644">
            <v>35</v>
          </cell>
          <cell r="K644">
            <v>0.95</v>
          </cell>
          <cell r="L644">
            <v>8</v>
          </cell>
          <cell r="M644">
            <v>0.04</v>
          </cell>
          <cell r="N644">
            <v>5</v>
          </cell>
          <cell r="O644">
            <v>180000</v>
          </cell>
          <cell r="P644">
            <v>0.25</v>
          </cell>
        </row>
        <row r="645">
          <cell r="B645" t="str">
            <v>Power Transformer20/6kV3000</v>
          </cell>
          <cell r="C645" t="str">
            <v>Power Transformer</v>
          </cell>
          <cell r="D645" t="str">
            <v>20/6</v>
          </cell>
          <cell r="E645" t="str">
            <v>kV</v>
          </cell>
          <cell r="F645">
            <v>3000</v>
          </cell>
          <cell r="I645">
            <v>47250</v>
          </cell>
          <cell r="J645">
            <v>35</v>
          </cell>
          <cell r="K645">
            <v>0.95</v>
          </cell>
          <cell r="L645">
            <v>8</v>
          </cell>
          <cell r="M645">
            <v>0.04</v>
          </cell>
          <cell r="N645">
            <v>5</v>
          </cell>
          <cell r="O645">
            <v>63000</v>
          </cell>
          <cell r="P645">
            <v>0.25</v>
          </cell>
        </row>
        <row r="646">
          <cell r="B646" t="str">
            <v>Power Transformer20/6kV4000</v>
          </cell>
          <cell r="C646" t="str">
            <v>Power Transformer</v>
          </cell>
          <cell r="D646" t="str">
            <v>20/6</v>
          </cell>
          <cell r="E646" t="str">
            <v>kV</v>
          </cell>
          <cell r="F646">
            <v>4000</v>
          </cell>
          <cell r="I646">
            <v>54000</v>
          </cell>
          <cell r="J646">
            <v>35</v>
          </cell>
          <cell r="K646">
            <v>0.95</v>
          </cell>
          <cell r="L646">
            <v>8</v>
          </cell>
          <cell r="M646">
            <v>0.04</v>
          </cell>
          <cell r="N646">
            <v>5</v>
          </cell>
          <cell r="O646">
            <v>72000</v>
          </cell>
          <cell r="P646">
            <v>0.25</v>
          </cell>
        </row>
        <row r="647">
          <cell r="B647" t="str">
            <v>Power Transformer20/6kV5000</v>
          </cell>
          <cell r="C647" t="str">
            <v>Power Transformer</v>
          </cell>
          <cell r="D647" t="str">
            <v>20/6</v>
          </cell>
          <cell r="E647" t="str">
            <v>kV</v>
          </cell>
          <cell r="F647">
            <v>5000</v>
          </cell>
          <cell r="I647">
            <v>58500</v>
          </cell>
          <cell r="J647">
            <v>35</v>
          </cell>
          <cell r="K647">
            <v>0.95</v>
          </cell>
          <cell r="L647">
            <v>8</v>
          </cell>
          <cell r="M647">
            <v>0.04</v>
          </cell>
          <cell r="N647">
            <v>5</v>
          </cell>
          <cell r="O647">
            <v>78000</v>
          </cell>
          <cell r="P647">
            <v>0.25</v>
          </cell>
        </row>
        <row r="648">
          <cell r="B648" t="str">
            <v>Power Transformer20/6kV5600</v>
          </cell>
          <cell r="C648" t="str">
            <v>Power Transformer</v>
          </cell>
          <cell r="D648" t="str">
            <v>20/6</v>
          </cell>
          <cell r="E648" t="str">
            <v>kV</v>
          </cell>
          <cell r="F648">
            <v>5600</v>
          </cell>
          <cell r="I648">
            <v>64500</v>
          </cell>
          <cell r="J648">
            <v>35</v>
          </cell>
          <cell r="K648">
            <v>0.95</v>
          </cell>
          <cell r="L648">
            <v>8</v>
          </cell>
          <cell r="M648">
            <v>0.04</v>
          </cell>
          <cell r="N648">
            <v>5</v>
          </cell>
          <cell r="O648">
            <v>86000</v>
          </cell>
          <cell r="P648">
            <v>0.25</v>
          </cell>
        </row>
        <row r="649">
          <cell r="B649" t="str">
            <v>Power Transformer20/6kV6300</v>
          </cell>
          <cell r="C649" t="str">
            <v>Power Transformer</v>
          </cell>
          <cell r="D649" t="str">
            <v>20/6</v>
          </cell>
          <cell r="E649" t="str">
            <v>kV</v>
          </cell>
          <cell r="F649">
            <v>6300</v>
          </cell>
          <cell r="I649">
            <v>67500</v>
          </cell>
          <cell r="J649">
            <v>35</v>
          </cell>
          <cell r="K649">
            <v>0.95</v>
          </cell>
          <cell r="L649">
            <v>8</v>
          </cell>
          <cell r="M649">
            <v>0.04</v>
          </cell>
          <cell r="N649">
            <v>5</v>
          </cell>
          <cell r="O649">
            <v>90000</v>
          </cell>
          <cell r="P649">
            <v>0.25</v>
          </cell>
        </row>
        <row r="650">
          <cell r="B650" t="str">
            <v>Power Transformer20/6kV10000</v>
          </cell>
          <cell r="C650" t="str">
            <v>Power Transformer</v>
          </cell>
          <cell r="D650" t="str">
            <v>20/6</v>
          </cell>
          <cell r="E650" t="str">
            <v>kV</v>
          </cell>
          <cell r="F650">
            <v>10000</v>
          </cell>
          <cell r="I650">
            <v>75000</v>
          </cell>
          <cell r="J650">
            <v>35</v>
          </cell>
          <cell r="K650">
            <v>0.95</v>
          </cell>
          <cell r="L650">
            <v>8</v>
          </cell>
          <cell r="M650">
            <v>0.04</v>
          </cell>
          <cell r="N650">
            <v>5</v>
          </cell>
          <cell r="O650">
            <v>100000</v>
          </cell>
          <cell r="P650">
            <v>0.25</v>
          </cell>
        </row>
        <row r="651">
          <cell r="B651" t="str">
            <v>Power Transformer20/6kV20000</v>
          </cell>
          <cell r="C651" t="str">
            <v>Power Transformer</v>
          </cell>
          <cell r="D651" t="str">
            <v>20/6</v>
          </cell>
          <cell r="E651" t="str">
            <v>kV</v>
          </cell>
          <cell r="F651">
            <v>20000</v>
          </cell>
          <cell r="I651">
            <v>160500</v>
          </cell>
          <cell r="J651">
            <v>35</v>
          </cell>
          <cell r="K651">
            <v>0.95</v>
          </cell>
          <cell r="L651">
            <v>8</v>
          </cell>
          <cell r="M651">
            <v>0.04</v>
          </cell>
          <cell r="N651">
            <v>5</v>
          </cell>
          <cell r="O651">
            <v>214000</v>
          </cell>
          <cell r="P651">
            <v>0.25</v>
          </cell>
        </row>
        <row r="652">
          <cell r="B652" t="str">
            <v>Power Transformer35/20/6kV5000</v>
          </cell>
          <cell r="C652" t="str">
            <v>Power Transformer</v>
          </cell>
          <cell r="D652" t="str">
            <v>35/20/6</v>
          </cell>
          <cell r="E652" t="str">
            <v>kV</v>
          </cell>
          <cell r="F652">
            <v>5000</v>
          </cell>
          <cell r="I652">
            <v>58500</v>
          </cell>
          <cell r="J652">
            <v>35</v>
          </cell>
          <cell r="K652">
            <v>0.95</v>
          </cell>
          <cell r="L652">
            <v>8</v>
          </cell>
          <cell r="M652">
            <v>0.04</v>
          </cell>
          <cell r="N652">
            <v>5</v>
          </cell>
          <cell r="O652">
            <v>78000</v>
          </cell>
          <cell r="P652">
            <v>0.25</v>
          </cell>
        </row>
        <row r="653">
          <cell r="B653" t="str">
            <v>Transformer Bay6kVdouble</v>
          </cell>
          <cell r="C653" t="str">
            <v>Transformer Bay</v>
          </cell>
          <cell r="D653">
            <v>6</v>
          </cell>
          <cell r="E653" t="str">
            <v>kV</v>
          </cell>
          <cell r="F653" t="str">
            <v>double</v>
          </cell>
          <cell r="I653">
            <v>15000</v>
          </cell>
          <cell r="J653">
            <v>35</v>
          </cell>
          <cell r="K653">
            <v>0.95</v>
          </cell>
          <cell r="L653">
            <v>8</v>
          </cell>
          <cell r="M653">
            <v>0.04</v>
          </cell>
          <cell r="N653">
            <v>5</v>
          </cell>
          <cell r="O653">
            <v>15000</v>
          </cell>
        </row>
        <row r="654">
          <cell r="B654" t="str">
            <v>Transformer Bay6kVsingle</v>
          </cell>
          <cell r="C654" t="str">
            <v>Transformer Bay</v>
          </cell>
          <cell r="D654">
            <v>6</v>
          </cell>
          <cell r="E654" t="str">
            <v>kV</v>
          </cell>
          <cell r="F654" t="str">
            <v>single</v>
          </cell>
          <cell r="I654">
            <v>14000</v>
          </cell>
          <cell r="J654">
            <v>35</v>
          </cell>
          <cell r="K654">
            <v>0.95</v>
          </cell>
          <cell r="L654">
            <v>8</v>
          </cell>
          <cell r="M654">
            <v>0.04</v>
          </cell>
          <cell r="N654">
            <v>5</v>
          </cell>
          <cell r="O654">
            <v>14000</v>
          </cell>
        </row>
        <row r="655">
          <cell r="B655" t="str">
            <v>Transformer Bay10kVdouble</v>
          </cell>
          <cell r="C655" t="str">
            <v>Transformer Bay</v>
          </cell>
          <cell r="D655">
            <v>10</v>
          </cell>
          <cell r="E655" t="str">
            <v>kV</v>
          </cell>
          <cell r="F655" t="str">
            <v>double</v>
          </cell>
          <cell r="I655">
            <v>20000</v>
          </cell>
          <cell r="J655">
            <v>35</v>
          </cell>
          <cell r="K655">
            <v>0.95</v>
          </cell>
          <cell r="L655">
            <v>8</v>
          </cell>
          <cell r="M655">
            <v>0.04</v>
          </cell>
          <cell r="N655">
            <v>5</v>
          </cell>
          <cell r="O655">
            <v>20000</v>
          </cell>
        </row>
        <row r="656">
          <cell r="B656" t="str">
            <v>Transformer Bay10kVsingle</v>
          </cell>
          <cell r="C656" t="str">
            <v>Transformer Bay</v>
          </cell>
          <cell r="D656">
            <v>10</v>
          </cell>
          <cell r="E656" t="str">
            <v>kV</v>
          </cell>
          <cell r="F656" t="str">
            <v>single</v>
          </cell>
          <cell r="I656">
            <v>19000</v>
          </cell>
          <cell r="J656">
            <v>35</v>
          </cell>
          <cell r="K656">
            <v>0.95</v>
          </cell>
          <cell r="L656">
            <v>8</v>
          </cell>
          <cell r="M656">
            <v>0.04</v>
          </cell>
          <cell r="N656">
            <v>5</v>
          </cell>
          <cell r="O656">
            <v>19000</v>
          </cell>
        </row>
        <row r="657">
          <cell r="B657" t="str">
            <v>Transformer Bay20kVdouble</v>
          </cell>
          <cell r="C657" t="str">
            <v>Transformer Bay</v>
          </cell>
          <cell r="D657">
            <v>20</v>
          </cell>
          <cell r="E657" t="str">
            <v>kV</v>
          </cell>
          <cell r="F657" t="str">
            <v>double</v>
          </cell>
          <cell r="I657">
            <v>20000</v>
          </cell>
          <cell r="J657">
            <v>35</v>
          </cell>
          <cell r="K657">
            <v>0.95</v>
          </cell>
          <cell r="L657">
            <v>8</v>
          </cell>
          <cell r="M657">
            <v>0.04</v>
          </cell>
          <cell r="N657">
            <v>5</v>
          </cell>
          <cell r="O657">
            <v>20000</v>
          </cell>
        </row>
        <row r="658">
          <cell r="B658" t="str">
            <v>Transformer Bay20kVsingle</v>
          </cell>
          <cell r="C658" t="str">
            <v>Transformer Bay</v>
          </cell>
          <cell r="D658">
            <v>20</v>
          </cell>
          <cell r="E658" t="str">
            <v>kV</v>
          </cell>
          <cell r="F658" t="str">
            <v>single</v>
          </cell>
          <cell r="I658">
            <v>19000</v>
          </cell>
          <cell r="J658">
            <v>35</v>
          </cell>
          <cell r="K658">
            <v>0.95</v>
          </cell>
          <cell r="L658">
            <v>8</v>
          </cell>
          <cell r="M658">
            <v>0.04</v>
          </cell>
          <cell r="N658">
            <v>5</v>
          </cell>
          <cell r="O658">
            <v>19000</v>
          </cell>
        </row>
        <row r="659">
          <cell r="B659" t="str">
            <v>Transformer Bay35kVsingle</v>
          </cell>
          <cell r="C659" t="str">
            <v>Transformer Bay</v>
          </cell>
          <cell r="D659">
            <v>35</v>
          </cell>
          <cell r="E659" t="str">
            <v>kV</v>
          </cell>
          <cell r="F659" t="str">
            <v>single</v>
          </cell>
          <cell r="I659">
            <v>31000</v>
          </cell>
          <cell r="J659">
            <v>35</v>
          </cell>
          <cell r="K659">
            <v>0.95</v>
          </cell>
          <cell r="L659">
            <v>8</v>
          </cell>
          <cell r="M659">
            <v>0.04</v>
          </cell>
          <cell r="N659">
            <v>5</v>
          </cell>
          <cell r="O659">
            <v>31000</v>
          </cell>
        </row>
        <row r="660">
          <cell r="B660" t="str">
            <v>Transformer Bay110kVdouble</v>
          </cell>
          <cell r="C660" t="str">
            <v>Transformer Bay</v>
          </cell>
          <cell r="D660">
            <v>110</v>
          </cell>
          <cell r="E660" t="str">
            <v>kV</v>
          </cell>
          <cell r="F660" t="str">
            <v>double</v>
          </cell>
          <cell r="I660">
            <v>105000</v>
          </cell>
          <cell r="J660">
            <v>35</v>
          </cell>
          <cell r="K660">
            <v>0.95</v>
          </cell>
          <cell r="L660">
            <v>8</v>
          </cell>
          <cell r="M660">
            <v>0.04</v>
          </cell>
          <cell r="N660">
            <v>5</v>
          </cell>
          <cell r="O660">
            <v>105000</v>
          </cell>
        </row>
        <row r="661">
          <cell r="B661" t="str">
            <v>Transformer Bay110kVsingle</v>
          </cell>
          <cell r="C661" t="str">
            <v>Transformer Bay</v>
          </cell>
          <cell r="D661">
            <v>110</v>
          </cell>
          <cell r="E661" t="str">
            <v>kV</v>
          </cell>
          <cell r="F661" t="str">
            <v>single</v>
          </cell>
          <cell r="I661">
            <v>95000</v>
          </cell>
          <cell r="J661">
            <v>35</v>
          </cell>
          <cell r="K661">
            <v>0.95</v>
          </cell>
          <cell r="L661">
            <v>8</v>
          </cell>
          <cell r="M661">
            <v>0.04</v>
          </cell>
          <cell r="N661">
            <v>5</v>
          </cell>
          <cell r="O661">
            <v>95000</v>
          </cell>
        </row>
        <row r="662">
          <cell r="B662" t="str">
            <v>Transformer Bay110kVtriple</v>
          </cell>
          <cell r="C662" t="str">
            <v>Transformer Bay</v>
          </cell>
          <cell r="D662">
            <v>110</v>
          </cell>
          <cell r="E662" t="str">
            <v>kV</v>
          </cell>
          <cell r="F662" t="str">
            <v>triple</v>
          </cell>
          <cell r="I662">
            <v>112000</v>
          </cell>
          <cell r="J662">
            <v>35</v>
          </cell>
          <cell r="K662">
            <v>0.95</v>
          </cell>
          <cell r="L662">
            <v>8</v>
          </cell>
          <cell r="M662">
            <v>0.04</v>
          </cell>
          <cell r="N662">
            <v>5</v>
          </cell>
          <cell r="O662">
            <v>112000</v>
          </cell>
        </row>
        <row r="663">
          <cell r="B663" t="str">
            <v>Transformer Bay110kVzero</v>
          </cell>
          <cell r="C663" t="str">
            <v>Transformer Bay</v>
          </cell>
          <cell r="D663">
            <v>110</v>
          </cell>
          <cell r="E663" t="str">
            <v>kV</v>
          </cell>
          <cell r="F663" t="str">
            <v>zero</v>
          </cell>
          <cell r="I663">
            <v>95000</v>
          </cell>
          <cell r="J663">
            <v>35</v>
          </cell>
          <cell r="K663">
            <v>0.95</v>
          </cell>
          <cell r="L663">
            <v>8</v>
          </cell>
          <cell r="M663">
            <v>0.04</v>
          </cell>
          <cell r="N663">
            <v>5</v>
          </cell>
          <cell r="O663">
            <v>95000</v>
          </cell>
        </row>
        <row r="664">
          <cell r="B664" t="str">
            <v>TS EquipmentTrafo40</v>
          </cell>
          <cell r="C664" t="str">
            <v>TS Equipment</v>
          </cell>
          <cell r="D664" t="str">
            <v>Trafo</v>
          </cell>
          <cell r="H664">
            <v>40</v>
          </cell>
          <cell r="I664">
            <v>3000</v>
          </cell>
          <cell r="J664">
            <v>25</v>
          </cell>
          <cell r="K664">
            <v>0.95</v>
          </cell>
          <cell r="L664">
            <v>5</v>
          </cell>
          <cell r="M664">
            <v>0.04</v>
          </cell>
          <cell r="N664">
            <v>5</v>
          </cell>
          <cell r="O664">
            <v>3000</v>
          </cell>
        </row>
        <row r="665">
          <cell r="B665" t="str">
            <v>TS EquipmentTrafo47</v>
          </cell>
          <cell r="C665" t="str">
            <v>TS Equipment</v>
          </cell>
          <cell r="D665" t="str">
            <v>Trafo</v>
          </cell>
          <cell r="H665">
            <v>47</v>
          </cell>
          <cell r="I665">
            <v>3500</v>
          </cell>
          <cell r="J665">
            <v>25</v>
          </cell>
          <cell r="K665">
            <v>0.95</v>
          </cell>
          <cell r="L665">
            <v>5</v>
          </cell>
          <cell r="M665">
            <v>0.04</v>
          </cell>
          <cell r="N665">
            <v>5</v>
          </cell>
          <cell r="O665">
            <v>3500</v>
          </cell>
        </row>
        <row r="666">
          <cell r="B666" t="str">
            <v>TS EquipmentTrafo63</v>
          </cell>
          <cell r="C666" t="str">
            <v>TS Equipment</v>
          </cell>
          <cell r="D666" t="str">
            <v>Trafo</v>
          </cell>
          <cell r="H666">
            <v>63</v>
          </cell>
          <cell r="I666">
            <v>3700</v>
          </cell>
          <cell r="J666">
            <v>25</v>
          </cell>
          <cell r="K666">
            <v>0.95</v>
          </cell>
          <cell r="L666">
            <v>5</v>
          </cell>
          <cell r="M666">
            <v>0.04</v>
          </cell>
          <cell r="N666">
            <v>5</v>
          </cell>
          <cell r="O666">
            <v>3700</v>
          </cell>
        </row>
        <row r="667">
          <cell r="B667" t="str">
            <v>TS EquipmentTrafo100</v>
          </cell>
          <cell r="C667" t="str">
            <v>TS Equipment</v>
          </cell>
          <cell r="D667" t="str">
            <v>Trafo</v>
          </cell>
          <cell r="H667">
            <v>100</v>
          </cell>
          <cell r="I667">
            <v>4000</v>
          </cell>
          <cell r="J667">
            <v>25</v>
          </cell>
          <cell r="K667">
            <v>0.95</v>
          </cell>
          <cell r="L667">
            <v>5</v>
          </cell>
          <cell r="M667">
            <v>0.04</v>
          </cell>
          <cell r="N667">
            <v>5</v>
          </cell>
          <cell r="O667">
            <v>4000</v>
          </cell>
        </row>
        <row r="668">
          <cell r="B668" t="str">
            <v>TS EquipmentTrafo160</v>
          </cell>
          <cell r="C668" t="str">
            <v>TS Equipment</v>
          </cell>
          <cell r="D668" t="str">
            <v>Trafo</v>
          </cell>
          <cell r="H668">
            <v>160</v>
          </cell>
          <cell r="I668">
            <v>5000</v>
          </cell>
          <cell r="J668">
            <v>25</v>
          </cell>
          <cell r="K668">
            <v>0.95</v>
          </cell>
          <cell r="L668">
            <v>5</v>
          </cell>
          <cell r="M668">
            <v>0.04</v>
          </cell>
          <cell r="N668">
            <v>5</v>
          </cell>
          <cell r="O668">
            <v>5000</v>
          </cell>
        </row>
        <row r="669">
          <cell r="B669" t="str">
            <v>TS EquipmentTrafo180</v>
          </cell>
          <cell r="C669" t="str">
            <v>TS Equipment</v>
          </cell>
          <cell r="D669" t="str">
            <v>Trafo</v>
          </cell>
          <cell r="H669">
            <v>180</v>
          </cell>
          <cell r="I669">
            <v>5500</v>
          </cell>
          <cell r="J669">
            <v>25</v>
          </cell>
          <cell r="K669">
            <v>0.95</v>
          </cell>
          <cell r="L669">
            <v>5</v>
          </cell>
          <cell r="M669">
            <v>0.04</v>
          </cell>
          <cell r="N669">
            <v>5</v>
          </cell>
          <cell r="O669">
            <v>5500</v>
          </cell>
        </row>
        <row r="670">
          <cell r="B670" t="str">
            <v>TS EquipmentTrafo200</v>
          </cell>
          <cell r="C670" t="str">
            <v>TS Equipment</v>
          </cell>
          <cell r="D670" t="str">
            <v>Trafo</v>
          </cell>
          <cell r="H670">
            <v>200</v>
          </cell>
          <cell r="I670">
            <v>6000</v>
          </cell>
          <cell r="J670">
            <v>25</v>
          </cell>
          <cell r="K670">
            <v>0.95</v>
          </cell>
          <cell r="L670">
            <v>5</v>
          </cell>
          <cell r="M670">
            <v>0.04</v>
          </cell>
          <cell r="N670">
            <v>5</v>
          </cell>
          <cell r="O670">
            <v>6000</v>
          </cell>
        </row>
        <row r="671">
          <cell r="B671" t="str">
            <v>TS EquipmentTrafo230</v>
          </cell>
          <cell r="C671" t="str">
            <v>TS Equipment</v>
          </cell>
          <cell r="D671" t="str">
            <v>Trafo</v>
          </cell>
          <cell r="H671">
            <v>230</v>
          </cell>
          <cell r="I671">
            <v>6300</v>
          </cell>
          <cell r="J671">
            <v>25</v>
          </cell>
          <cell r="K671">
            <v>0.95</v>
          </cell>
          <cell r="L671">
            <v>5</v>
          </cell>
          <cell r="M671">
            <v>0.04</v>
          </cell>
          <cell r="N671">
            <v>5</v>
          </cell>
          <cell r="O671">
            <v>6300</v>
          </cell>
        </row>
        <row r="672">
          <cell r="B672" t="str">
            <v>TS EquipmentTrafo240</v>
          </cell>
          <cell r="C672" t="str">
            <v>TS Equipment</v>
          </cell>
          <cell r="D672" t="str">
            <v>Trafo</v>
          </cell>
          <cell r="H672">
            <v>240</v>
          </cell>
          <cell r="I672">
            <v>6700</v>
          </cell>
          <cell r="J672">
            <v>25</v>
          </cell>
          <cell r="K672">
            <v>0.95</v>
          </cell>
          <cell r="L672">
            <v>5</v>
          </cell>
          <cell r="M672">
            <v>0.04</v>
          </cell>
          <cell r="N672">
            <v>5</v>
          </cell>
          <cell r="O672">
            <v>6700</v>
          </cell>
        </row>
        <row r="673">
          <cell r="B673" t="str">
            <v>TS EquipmentTrafo250</v>
          </cell>
          <cell r="C673" t="str">
            <v>TS Equipment</v>
          </cell>
          <cell r="D673" t="str">
            <v>Trafo</v>
          </cell>
          <cell r="H673">
            <v>250</v>
          </cell>
          <cell r="I673">
            <v>7000</v>
          </cell>
          <cell r="J673">
            <v>25</v>
          </cell>
          <cell r="K673">
            <v>0.95</v>
          </cell>
          <cell r="L673">
            <v>5</v>
          </cell>
          <cell r="M673">
            <v>0.04</v>
          </cell>
          <cell r="N673">
            <v>5</v>
          </cell>
          <cell r="O673">
            <v>7000</v>
          </cell>
        </row>
        <row r="674">
          <cell r="B674" t="str">
            <v>TS EquipmentTrafo280</v>
          </cell>
          <cell r="C674" t="str">
            <v>TS Equipment</v>
          </cell>
          <cell r="D674" t="str">
            <v>Trafo</v>
          </cell>
          <cell r="H674">
            <v>280</v>
          </cell>
          <cell r="I674">
            <v>7000</v>
          </cell>
          <cell r="J674">
            <v>25</v>
          </cell>
          <cell r="K674">
            <v>0.95</v>
          </cell>
          <cell r="L674">
            <v>5</v>
          </cell>
          <cell r="M674">
            <v>0.04</v>
          </cell>
          <cell r="N674">
            <v>5</v>
          </cell>
          <cell r="O674">
            <v>7000</v>
          </cell>
        </row>
        <row r="675">
          <cell r="B675" t="str">
            <v>TS EquipmentTrafo300</v>
          </cell>
          <cell r="C675" t="str">
            <v>TS Equipment</v>
          </cell>
          <cell r="D675" t="str">
            <v>Trafo</v>
          </cell>
          <cell r="H675">
            <v>300</v>
          </cell>
          <cell r="I675">
            <v>8000</v>
          </cell>
          <cell r="J675">
            <v>25</v>
          </cell>
          <cell r="K675">
            <v>0.95</v>
          </cell>
          <cell r="L675">
            <v>5</v>
          </cell>
          <cell r="M675">
            <v>0.04</v>
          </cell>
          <cell r="N675">
            <v>5</v>
          </cell>
          <cell r="O675">
            <v>8000</v>
          </cell>
        </row>
        <row r="676">
          <cell r="B676" t="str">
            <v>TS EquipmentTrafo315</v>
          </cell>
          <cell r="C676" t="str">
            <v>TS Equipment</v>
          </cell>
          <cell r="D676" t="str">
            <v>Trafo</v>
          </cell>
          <cell r="H676">
            <v>315</v>
          </cell>
          <cell r="I676">
            <v>8200</v>
          </cell>
          <cell r="J676">
            <v>25</v>
          </cell>
          <cell r="K676">
            <v>0.95</v>
          </cell>
          <cell r="L676">
            <v>5</v>
          </cell>
          <cell r="M676">
            <v>0.04</v>
          </cell>
          <cell r="N676">
            <v>5</v>
          </cell>
          <cell r="O676">
            <v>8200</v>
          </cell>
        </row>
        <row r="677">
          <cell r="B677" t="str">
            <v>TS EquipmentTrafo320</v>
          </cell>
          <cell r="C677" t="str">
            <v>TS Equipment</v>
          </cell>
          <cell r="D677" t="str">
            <v>Trafo</v>
          </cell>
          <cell r="H677">
            <v>320</v>
          </cell>
          <cell r="I677">
            <v>8200</v>
          </cell>
          <cell r="J677">
            <v>25</v>
          </cell>
          <cell r="K677">
            <v>0.95</v>
          </cell>
          <cell r="L677">
            <v>5</v>
          </cell>
          <cell r="M677">
            <v>0.04</v>
          </cell>
          <cell r="N677">
            <v>5</v>
          </cell>
          <cell r="O677">
            <v>8200</v>
          </cell>
        </row>
        <row r="678">
          <cell r="B678" t="str">
            <v>TS EquipmentTrafo330</v>
          </cell>
          <cell r="C678" t="str">
            <v>TS Equipment</v>
          </cell>
          <cell r="D678" t="str">
            <v>Trafo</v>
          </cell>
          <cell r="H678">
            <v>330</v>
          </cell>
          <cell r="I678">
            <v>5300</v>
          </cell>
          <cell r="J678">
            <v>25</v>
          </cell>
          <cell r="K678">
            <v>0.95</v>
          </cell>
          <cell r="L678">
            <v>5</v>
          </cell>
          <cell r="M678">
            <v>0.04</v>
          </cell>
          <cell r="N678">
            <v>5</v>
          </cell>
          <cell r="O678">
            <v>5300</v>
          </cell>
        </row>
        <row r="679">
          <cell r="B679" t="str">
            <v>TS EquipmentTrafo350</v>
          </cell>
          <cell r="C679" t="str">
            <v>TS Equipment</v>
          </cell>
          <cell r="D679" t="str">
            <v>Trafo</v>
          </cell>
          <cell r="H679">
            <v>350</v>
          </cell>
          <cell r="I679">
            <v>8500</v>
          </cell>
          <cell r="J679">
            <v>25</v>
          </cell>
          <cell r="K679">
            <v>0.95</v>
          </cell>
          <cell r="L679">
            <v>5</v>
          </cell>
          <cell r="M679">
            <v>0.04</v>
          </cell>
          <cell r="N679">
            <v>5</v>
          </cell>
          <cell r="O679">
            <v>8500</v>
          </cell>
        </row>
        <row r="680">
          <cell r="B680" t="str">
            <v>TS EquipmentTrafo400</v>
          </cell>
          <cell r="C680" t="str">
            <v>TS Equipment</v>
          </cell>
          <cell r="D680" t="str">
            <v>Trafo</v>
          </cell>
          <cell r="H680">
            <v>400</v>
          </cell>
          <cell r="I680">
            <v>9000</v>
          </cell>
          <cell r="J680">
            <v>25</v>
          </cell>
          <cell r="K680">
            <v>0.95</v>
          </cell>
          <cell r="L680">
            <v>5</v>
          </cell>
          <cell r="M680">
            <v>0.04</v>
          </cell>
          <cell r="N680">
            <v>5</v>
          </cell>
          <cell r="O680">
            <v>9000</v>
          </cell>
        </row>
        <row r="681">
          <cell r="B681" t="str">
            <v>TS EquipmentTrafo420</v>
          </cell>
          <cell r="C681" t="str">
            <v>TS Equipment</v>
          </cell>
          <cell r="D681" t="str">
            <v>Trafo</v>
          </cell>
          <cell r="H681">
            <v>420</v>
          </cell>
          <cell r="I681">
            <v>9200</v>
          </cell>
          <cell r="J681">
            <v>25</v>
          </cell>
          <cell r="K681">
            <v>0.95</v>
          </cell>
          <cell r="L681">
            <v>5</v>
          </cell>
          <cell r="M681">
            <v>0.04</v>
          </cell>
          <cell r="N681">
            <v>5</v>
          </cell>
          <cell r="O681">
            <v>9200</v>
          </cell>
        </row>
        <row r="682">
          <cell r="B682" t="str">
            <v>TS EquipmentTrafo440</v>
          </cell>
          <cell r="C682" t="str">
            <v>TS Equipment</v>
          </cell>
          <cell r="D682" t="str">
            <v>Trafo</v>
          </cell>
          <cell r="H682">
            <v>440</v>
          </cell>
          <cell r="I682">
            <v>9400</v>
          </cell>
          <cell r="J682">
            <v>25</v>
          </cell>
          <cell r="K682">
            <v>0.95</v>
          </cell>
          <cell r="L682">
            <v>5</v>
          </cell>
          <cell r="M682">
            <v>0.04</v>
          </cell>
          <cell r="N682">
            <v>5</v>
          </cell>
          <cell r="O682">
            <v>9400</v>
          </cell>
        </row>
        <row r="683">
          <cell r="B683" t="str">
            <v>TS EquipmentTrafo630</v>
          </cell>
          <cell r="C683" t="str">
            <v>TS Equipment</v>
          </cell>
          <cell r="D683" t="str">
            <v>Trafo</v>
          </cell>
          <cell r="H683">
            <v>630</v>
          </cell>
          <cell r="I683">
            <v>11500</v>
          </cell>
          <cell r="J683">
            <v>25</v>
          </cell>
          <cell r="K683">
            <v>0.95</v>
          </cell>
          <cell r="L683">
            <v>5</v>
          </cell>
          <cell r="M683">
            <v>0.04</v>
          </cell>
          <cell r="N683">
            <v>5</v>
          </cell>
          <cell r="O683">
            <v>11500</v>
          </cell>
        </row>
        <row r="684">
          <cell r="B684" t="str">
            <v>TS EquipmentTrafo800</v>
          </cell>
          <cell r="C684" t="str">
            <v>TS Equipment</v>
          </cell>
          <cell r="D684" t="str">
            <v>Trafo</v>
          </cell>
          <cell r="H684">
            <v>800</v>
          </cell>
          <cell r="I684">
            <v>14000</v>
          </cell>
          <cell r="J684">
            <v>25</v>
          </cell>
          <cell r="K684">
            <v>0.95</v>
          </cell>
          <cell r="L684">
            <v>5</v>
          </cell>
          <cell r="M684">
            <v>0.04</v>
          </cell>
          <cell r="N684">
            <v>5</v>
          </cell>
          <cell r="O684">
            <v>14000</v>
          </cell>
        </row>
        <row r="685">
          <cell r="B685" t="str">
            <v>TS EquipmentTrafo1000</v>
          </cell>
          <cell r="C685" t="str">
            <v>TS Equipment</v>
          </cell>
          <cell r="D685" t="str">
            <v>Trafo</v>
          </cell>
          <cell r="H685">
            <v>1000</v>
          </cell>
          <cell r="I685">
            <v>16000</v>
          </cell>
          <cell r="J685">
            <v>35</v>
          </cell>
          <cell r="K685">
            <v>0.95</v>
          </cell>
          <cell r="L685">
            <v>8</v>
          </cell>
          <cell r="M685">
            <v>0.04</v>
          </cell>
          <cell r="N685">
            <v>5</v>
          </cell>
          <cell r="O685">
            <v>16000</v>
          </cell>
        </row>
        <row r="686">
          <cell r="B686" t="str">
            <v>TS EquipmentTrafo1600</v>
          </cell>
          <cell r="C686" t="str">
            <v>TS Equipment</v>
          </cell>
          <cell r="D686" t="str">
            <v>Trafo</v>
          </cell>
          <cell r="H686">
            <v>1600</v>
          </cell>
          <cell r="I686">
            <v>24000</v>
          </cell>
          <cell r="J686">
            <v>35</v>
          </cell>
          <cell r="K686">
            <v>0.95</v>
          </cell>
          <cell r="L686">
            <v>8</v>
          </cell>
          <cell r="M686">
            <v>0.04</v>
          </cell>
          <cell r="N686">
            <v>5</v>
          </cell>
          <cell r="O686">
            <v>24000</v>
          </cell>
        </row>
        <row r="687">
          <cell r="B687" t="str">
            <v>TS EquipmentTrafo4000</v>
          </cell>
          <cell r="C687" t="str">
            <v>TS Equipment</v>
          </cell>
          <cell r="D687" t="str">
            <v>Trafo</v>
          </cell>
          <cell r="H687">
            <v>4000</v>
          </cell>
          <cell r="I687">
            <v>35000</v>
          </cell>
          <cell r="J687">
            <v>35</v>
          </cell>
          <cell r="K687">
            <v>0.95</v>
          </cell>
          <cell r="L687">
            <v>8</v>
          </cell>
          <cell r="M687">
            <v>0.04</v>
          </cell>
          <cell r="N687">
            <v>5</v>
          </cell>
          <cell r="O687">
            <v>35000</v>
          </cell>
        </row>
        <row r="688">
          <cell r="B688" t="str">
            <v>TS EquipmentTrafo6300</v>
          </cell>
          <cell r="C688" t="str">
            <v>TS Equipment</v>
          </cell>
          <cell r="D688" t="str">
            <v>Trafo</v>
          </cell>
          <cell r="H688">
            <v>6300</v>
          </cell>
          <cell r="I688">
            <v>90000</v>
          </cell>
          <cell r="J688">
            <v>35</v>
          </cell>
          <cell r="K688">
            <v>0.95</v>
          </cell>
          <cell r="L688">
            <v>8</v>
          </cell>
          <cell r="M688">
            <v>0.04</v>
          </cell>
          <cell r="N688">
            <v>5</v>
          </cell>
          <cell r="O688">
            <v>90000</v>
          </cell>
        </row>
        <row r="689">
          <cell r="B689" t="str">
            <v>TS EquipmentTrafo1000x2</v>
          </cell>
          <cell r="C689" t="str">
            <v>TS Equipment</v>
          </cell>
          <cell r="D689" t="str">
            <v>Trafo</v>
          </cell>
          <cell r="H689" t="str">
            <v>1000x2</v>
          </cell>
          <cell r="I689">
            <v>32000</v>
          </cell>
          <cell r="J689">
            <v>35</v>
          </cell>
          <cell r="K689">
            <v>0.95</v>
          </cell>
          <cell r="L689">
            <v>8</v>
          </cell>
          <cell r="M689">
            <v>0.04</v>
          </cell>
          <cell r="N689">
            <v>5</v>
          </cell>
          <cell r="O689">
            <v>32000</v>
          </cell>
        </row>
        <row r="690">
          <cell r="B690" t="str">
            <v>TS EquipmentTrafo6300x2</v>
          </cell>
          <cell r="C690" t="str">
            <v>TS Equipment</v>
          </cell>
          <cell r="D690" t="str">
            <v>Trafo</v>
          </cell>
          <cell r="H690" t="str">
            <v>6300x2</v>
          </cell>
          <cell r="I690">
            <v>180000</v>
          </cell>
          <cell r="J690">
            <v>35</v>
          </cell>
          <cell r="K690">
            <v>0.95</v>
          </cell>
          <cell r="L690">
            <v>8</v>
          </cell>
          <cell r="M690">
            <v>0.04</v>
          </cell>
          <cell r="N690">
            <v>5</v>
          </cell>
          <cell r="O690">
            <v>180000</v>
          </cell>
        </row>
        <row r="691">
          <cell r="B691" t="str">
            <v>TS EquipmentCell0.4</v>
          </cell>
          <cell r="C691" t="str">
            <v>TS Equipment</v>
          </cell>
          <cell r="D691" t="str">
            <v>Cell</v>
          </cell>
          <cell r="E691">
            <v>0.4</v>
          </cell>
          <cell r="I691">
            <v>850</v>
          </cell>
          <cell r="J691">
            <v>25</v>
          </cell>
          <cell r="K691">
            <v>0.95</v>
          </cell>
          <cell r="L691">
            <v>5</v>
          </cell>
          <cell r="M691">
            <v>0.04</v>
          </cell>
          <cell r="N691">
            <v>5</v>
          </cell>
          <cell r="O691">
            <v>850</v>
          </cell>
        </row>
        <row r="692">
          <cell r="B692" t="str">
            <v>TS EquipmentCell6</v>
          </cell>
          <cell r="C692" t="str">
            <v>TS Equipment</v>
          </cell>
          <cell r="D692" t="str">
            <v>Cell</v>
          </cell>
          <cell r="E692">
            <v>6</v>
          </cell>
          <cell r="I692">
            <v>2500</v>
          </cell>
          <cell r="J692">
            <v>25</v>
          </cell>
          <cell r="K692">
            <v>0.95</v>
          </cell>
          <cell r="L692">
            <v>5</v>
          </cell>
          <cell r="M692">
            <v>0.04</v>
          </cell>
          <cell r="N692">
            <v>5</v>
          </cell>
          <cell r="O692">
            <v>2500</v>
          </cell>
        </row>
        <row r="693">
          <cell r="B693" t="str">
            <v>TS EquipmentCell10</v>
          </cell>
          <cell r="C693" t="str">
            <v>TS Equipment</v>
          </cell>
          <cell r="D693" t="str">
            <v>Cell</v>
          </cell>
          <cell r="E693">
            <v>10</v>
          </cell>
          <cell r="I693">
            <v>3300</v>
          </cell>
          <cell r="J693">
            <v>25</v>
          </cell>
          <cell r="K693">
            <v>0.95</v>
          </cell>
          <cell r="L693">
            <v>5</v>
          </cell>
          <cell r="M693">
            <v>0.04</v>
          </cell>
          <cell r="N693">
            <v>5</v>
          </cell>
          <cell r="O693">
            <v>3300</v>
          </cell>
        </row>
        <row r="694">
          <cell r="B694" t="str">
            <v>TS EquipmentCell15</v>
          </cell>
          <cell r="C694" t="str">
            <v>TS Equipment</v>
          </cell>
          <cell r="D694" t="str">
            <v>Cell</v>
          </cell>
          <cell r="E694">
            <v>15</v>
          </cell>
          <cell r="I694">
            <v>3500</v>
          </cell>
          <cell r="J694">
            <v>25</v>
          </cell>
          <cell r="K694">
            <v>0.95</v>
          </cell>
          <cell r="L694">
            <v>5</v>
          </cell>
          <cell r="M694">
            <v>0.04</v>
          </cell>
          <cell r="N694">
            <v>5</v>
          </cell>
          <cell r="O694">
            <v>3500</v>
          </cell>
        </row>
        <row r="695">
          <cell r="B695" t="str">
            <v>TS EquipmentCell20</v>
          </cell>
          <cell r="C695" t="str">
            <v>TS Equipment</v>
          </cell>
          <cell r="D695" t="str">
            <v>Cell</v>
          </cell>
          <cell r="E695">
            <v>20</v>
          </cell>
          <cell r="I695">
            <v>3500</v>
          </cell>
          <cell r="J695">
            <v>25</v>
          </cell>
          <cell r="K695">
            <v>0.95</v>
          </cell>
          <cell r="L695">
            <v>5</v>
          </cell>
          <cell r="M695">
            <v>0.04</v>
          </cell>
          <cell r="N695">
            <v>5</v>
          </cell>
          <cell r="O695">
            <v>3500</v>
          </cell>
        </row>
        <row r="696">
          <cell r="B696" t="str">
            <v>TS EquipmentCell</v>
          </cell>
          <cell r="C696" t="str">
            <v>TS Equipment</v>
          </cell>
          <cell r="D696" t="str">
            <v>Cell</v>
          </cell>
          <cell r="M696">
            <v>0.04</v>
          </cell>
          <cell r="N696">
            <v>5</v>
          </cell>
          <cell r="O696">
            <v>0</v>
          </cell>
        </row>
        <row r="697">
          <cell r="B697" t="str">
            <v>TS Equipment</v>
          </cell>
          <cell r="C697" t="str">
            <v>TS Equipment</v>
          </cell>
          <cell r="M697">
            <v>0.04</v>
          </cell>
          <cell r="N697">
            <v>5</v>
          </cell>
          <cell r="O697">
            <v>0</v>
          </cell>
        </row>
        <row r="698">
          <cell r="B698" t="str">
            <v>TS Equipment</v>
          </cell>
          <cell r="C698" t="str">
            <v>TS Equipment</v>
          </cell>
          <cell r="M698">
            <v>0.04</v>
          </cell>
          <cell r="N698">
            <v>5</v>
          </cell>
          <cell r="O698">
            <v>0</v>
          </cell>
        </row>
        <row r="699">
          <cell r="B699" t="str">
            <v>TS Equipment</v>
          </cell>
          <cell r="C699" t="str">
            <v>TS Equipment</v>
          </cell>
          <cell r="M699">
            <v>0.04</v>
          </cell>
          <cell r="N699">
            <v>5</v>
          </cell>
          <cell r="O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</sheetData>
      <sheetData sheetId="3">
        <row r="5">
          <cell r="A5">
            <v>1</v>
          </cell>
          <cell r="B5">
            <v>9</v>
          </cell>
          <cell r="C5">
            <v>2149010</v>
          </cell>
          <cell r="D5" t="str">
            <v>no</v>
          </cell>
        </row>
        <row r="6">
          <cell r="A6">
            <v>2</v>
          </cell>
          <cell r="B6">
            <v>8</v>
          </cell>
          <cell r="C6">
            <v>12971410</v>
          </cell>
          <cell r="D6" t="str">
            <v>no</v>
          </cell>
        </row>
        <row r="7">
          <cell r="A7">
            <v>3</v>
          </cell>
          <cell r="B7">
            <v>8</v>
          </cell>
          <cell r="C7">
            <v>5770440</v>
          </cell>
          <cell r="D7" t="str">
            <v>no</v>
          </cell>
        </row>
        <row r="8">
          <cell r="A8">
            <v>4</v>
          </cell>
          <cell r="B8">
            <v>10</v>
          </cell>
          <cell r="C8">
            <v>8116550</v>
          </cell>
          <cell r="D8" t="str">
            <v>no</v>
          </cell>
        </row>
        <row r="9">
          <cell r="A9">
            <v>5</v>
          </cell>
          <cell r="B9">
            <v>8</v>
          </cell>
          <cell r="C9">
            <v>8200170</v>
          </cell>
          <cell r="D9" t="str">
            <v>no</v>
          </cell>
        </row>
        <row r="10">
          <cell r="A10">
            <v>6</v>
          </cell>
          <cell r="B10">
            <v>9</v>
          </cell>
          <cell r="C10">
            <v>7875280</v>
          </cell>
          <cell r="D10" t="str">
            <v>no</v>
          </cell>
        </row>
        <row r="11">
          <cell r="A11">
            <v>7</v>
          </cell>
          <cell r="B11">
            <v>9</v>
          </cell>
          <cell r="C11">
            <v>6451450</v>
          </cell>
          <cell r="D11" t="str">
            <v>no</v>
          </cell>
        </row>
        <row r="12">
          <cell r="A12">
            <v>8</v>
          </cell>
          <cell r="B12">
            <v>8</v>
          </cell>
          <cell r="C12">
            <v>9422710</v>
          </cell>
          <cell r="D12" t="str">
            <v>no</v>
          </cell>
        </row>
        <row r="13">
          <cell r="A13">
            <v>9</v>
          </cell>
          <cell r="B13">
            <v>9</v>
          </cell>
          <cell r="C13">
            <v>8079360</v>
          </cell>
          <cell r="D13" t="str">
            <v>no</v>
          </cell>
        </row>
        <row r="14">
          <cell r="A14">
            <v>10</v>
          </cell>
          <cell r="B14">
            <v>9</v>
          </cell>
          <cell r="C14">
            <v>10304670</v>
          </cell>
          <cell r="D14" t="str">
            <v>no</v>
          </cell>
        </row>
        <row r="15">
          <cell r="A15">
            <v>11</v>
          </cell>
          <cell r="B15">
            <v>9</v>
          </cell>
          <cell r="C15">
            <v>13715430</v>
          </cell>
          <cell r="D15" t="str">
            <v>no</v>
          </cell>
        </row>
        <row r="16">
          <cell r="A16">
            <v>12</v>
          </cell>
          <cell r="B16">
            <v>9</v>
          </cell>
          <cell r="C16">
            <v>12861200</v>
          </cell>
          <cell r="D16" t="str">
            <v>no</v>
          </cell>
        </row>
        <row r="17">
          <cell r="A17">
            <v>13</v>
          </cell>
          <cell r="B17">
            <v>9</v>
          </cell>
          <cell r="C17">
            <v>12733990</v>
          </cell>
          <cell r="D17" t="str">
            <v>no</v>
          </cell>
        </row>
        <row r="18">
          <cell r="A18">
            <v>14</v>
          </cell>
          <cell r="B18">
            <v>8</v>
          </cell>
          <cell r="C18">
            <v>17537890</v>
          </cell>
          <cell r="D18" t="str">
            <v>no</v>
          </cell>
        </row>
        <row r="19">
          <cell r="A19">
            <v>15</v>
          </cell>
          <cell r="B19">
            <v>8</v>
          </cell>
          <cell r="C19">
            <v>13736090</v>
          </cell>
          <cell r="D19" t="str">
            <v>no</v>
          </cell>
        </row>
        <row r="20">
          <cell r="A20">
            <v>16</v>
          </cell>
          <cell r="B20">
            <v>9</v>
          </cell>
          <cell r="C20">
            <v>12327970</v>
          </cell>
          <cell r="D20" t="str">
            <v>no</v>
          </cell>
        </row>
        <row r="21">
          <cell r="A21">
            <v>17</v>
          </cell>
          <cell r="B21">
            <v>9</v>
          </cell>
          <cell r="C21">
            <v>24879360</v>
          </cell>
          <cell r="D21" t="str">
            <v>no</v>
          </cell>
        </row>
        <row r="22">
          <cell r="A22">
            <v>18</v>
          </cell>
          <cell r="B22">
            <v>9</v>
          </cell>
          <cell r="C22">
            <v>29634220</v>
          </cell>
          <cell r="D22" t="str">
            <v>no</v>
          </cell>
        </row>
        <row r="23">
          <cell r="A23">
            <v>19</v>
          </cell>
          <cell r="B23">
            <v>9</v>
          </cell>
          <cell r="C23">
            <v>28445170</v>
          </cell>
          <cell r="D23" t="str">
            <v>no</v>
          </cell>
        </row>
        <row r="24">
          <cell r="A24">
            <v>20</v>
          </cell>
          <cell r="B24">
            <v>9</v>
          </cell>
          <cell r="C24">
            <v>40960150</v>
          </cell>
          <cell r="D24" t="str">
            <v>no</v>
          </cell>
        </row>
        <row r="25">
          <cell r="A25">
            <v>21</v>
          </cell>
          <cell r="B25">
            <v>9</v>
          </cell>
          <cell r="C25">
            <v>41705310</v>
          </cell>
          <cell r="D25" t="str">
            <v>no</v>
          </cell>
        </row>
        <row r="26">
          <cell r="A26">
            <v>22</v>
          </cell>
          <cell r="B26">
            <v>9</v>
          </cell>
          <cell r="C26">
            <v>49023110</v>
          </cell>
          <cell r="D26" t="str">
            <v>no</v>
          </cell>
        </row>
        <row r="27">
          <cell r="A27">
            <v>23</v>
          </cell>
          <cell r="B27">
            <v>9</v>
          </cell>
          <cell r="C27">
            <v>56500820</v>
          </cell>
          <cell r="D27" t="str">
            <v>no</v>
          </cell>
        </row>
        <row r="28">
          <cell r="A28">
            <v>23.5</v>
          </cell>
          <cell r="B28">
            <v>1</v>
          </cell>
          <cell r="C28">
            <v>11300</v>
          </cell>
          <cell r="D28" t="str">
            <v>no</v>
          </cell>
        </row>
        <row r="29">
          <cell r="A29">
            <v>23.941976427923919</v>
          </cell>
          <cell r="B29">
            <v>1</v>
          </cell>
          <cell r="C29">
            <v>40500</v>
          </cell>
          <cell r="D29" t="str">
            <v>no</v>
          </cell>
        </row>
        <row r="30">
          <cell r="A30">
            <v>24</v>
          </cell>
          <cell r="B30">
            <v>9</v>
          </cell>
          <cell r="C30">
            <v>54235400</v>
          </cell>
          <cell r="D30" t="str">
            <v>no</v>
          </cell>
        </row>
        <row r="31">
          <cell r="A31">
            <v>25</v>
          </cell>
          <cell r="B31">
            <v>9</v>
          </cell>
          <cell r="C31">
            <v>47947880</v>
          </cell>
          <cell r="D31" t="str">
            <v>no</v>
          </cell>
        </row>
        <row r="32">
          <cell r="A32">
            <v>26</v>
          </cell>
          <cell r="B32">
            <v>9</v>
          </cell>
          <cell r="C32">
            <v>72479280</v>
          </cell>
          <cell r="D32" t="str">
            <v>no</v>
          </cell>
        </row>
        <row r="33">
          <cell r="A33">
            <v>27</v>
          </cell>
          <cell r="B33">
            <v>10</v>
          </cell>
          <cell r="C33">
            <v>40738280</v>
          </cell>
          <cell r="D33" t="str">
            <v>no</v>
          </cell>
        </row>
        <row r="34">
          <cell r="A34">
            <v>28</v>
          </cell>
          <cell r="B34">
            <v>9</v>
          </cell>
          <cell r="C34">
            <v>59650300</v>
          </cell>
          <cell r="D34" t="str">
            <v>no</v>
          </cell>
        </row>
        <row r="35">
          <cell r="A35">
            <v>29</v>
          </cell>
          <cell r="B35">
            <v>9</v>
          </cell>
          <cell r="C35">
            <v>46417340</v>
          </cell>
          <cell r="D35" t="str">
            <v>no</v>
          </cell>
        </row>
        <row r="36">
          <cell r="A36">
            <v>30</v>
          </cell>
          <cell r="B36">
            <v>10</v>
          </cell>
          <cell r="C36">
            <v>60069580</v>
          </cell>
          <cell r="D36" t="str">
            <v>no</v>
          </cell>
        </row>
        <row r="37">
          <cell r="A37">
            <v>31</v>
          </cell>
          <cell r="B37">
            <v>9</v>
          </cell>
          <cell r="C37">
            <v>60452820</v>
          </cell>
          <cell r="D37" t="str">
            <v>no</v>
          </cell>
        </row>
        <row r="38">
          <cell r="A38">
            <v>32</v>
          </cell>
          <cell r="B38">
            <v>9</v>
          </cell>
          <cell r="C38">
            <v>67489370</v>
          </cell>
          <cell r="D38" t="str">
            <v>no</v>
          </cell>
        </row>
        <row r="39">
          <cell r="A39">
            <v>33</v>
          </cell>
          <cell r="B39">
            <v>9</v>
          </cell>
          <cell r="C39">
            <v>64160330</v>
          </cell>
          <cell r="D39" t="str">
            <v>no</v>
          </cell>
        </row>
        <row r="40">
          <cell r="A40">
            <v>34</v>
          </cell>
          <cell r="B40">
            <v>9</v>
          </cell>
          <cell r="C40">
            <v>56779770</v>
          </cell>
          <cell r="D40" t="str">
            <v>no</v>
          </cell>
        </row>
        <row r="41">
          <cell r="A41">
            <v>35</v>
          </cell>
          <cell r="B41">
            <v>9</v>
          </cell>
          <cell r="C41">
            <v>80936550</v>
          </cell>
          <cell r="D41" t="str">
            <v>no</v>
          </cell>
        </row>
        <row r="42">
          <cell r="A42">
            <v>36</v>
          </cell>
          <cell r="B42">
            <v>9</v>
          </cell>
          <cell r="C42">
            <v>60442170</v>
          </cell>
          <cell r="D42" t="str">
            <v>no</v>
          </cell>
        </row>
        <row r="43">
          <cell r="A43">
            <v>37</v>
          </cell>
          <cell r="B43">
            <v>9</v>
          </cell>
          <cell r="C43">
            <v>74056290</v>
          </cell>
          <cell r="D43" t="str">
            <v>no</v>
          </cell>
        </row>
        <row r="44">
          <cell r="A44">
            <v>38</v>
          </cell>
          <cell r="B44">
            <v>9</v>
          </cell>
          <cell r="C44">
            <v>47013650</v>
          </cell>
          <cell r="D44" t="str">
            <v>no</v>
          </cell>
        </row>
        <row r="45">
          <cell r="A45">
            <v>39</v>
          </cell>
          <cell r="B45">
            <v>9</v>
          </cell>
          <cell r="C45">
            <v>46799730</v>
          </cell>
          <cell r="D45" t="str">
            <v>no</v>
          </cell>
        </row>
        <row r="46">
          <cell r="A46">
            <v>40</v>
          </cell>
          <cell r="B46">
            <v>10</v>
          </cell>
          <cell r="C46">
            <v>36342990</v>
          </cell>
          <cell r="D46" t="str">
            <v>no</v>
          </cell>
        </row>
        <row r="47">
          <cell r="A47">
            <v>41</v>
          </cell>
          <cell r="B47">
            <v>9</v>
          </cell>
          <cell r="C47">
            <v>31007390</v>
          </cell>
          <cell r="D47" t="str">
            <v>no</v>
          </cell>
        </row>
        <row r="48">
          <cell r="A48">
            <v>42</v>
          </cell>
          <cell r="B48">
            <v>9</v>
          </cell>
          <cell r="C48">
            <v>42347450</v>
          </cell>
          <cell r="D48" t="str">
            <v>no</v>
          </cell>
        </row>
        <row r="49">
          <cell r="A49">
            <v>43</v>
          </cell>
          <cell r="B49">
            <v>9</v>
          </cell>
          <cell r="C49">
            <v>48533260</v>
          </cell>
          <cell r="D49" t="str">
            <v>no</v>
          </cell>
        </row>
        <row r="50">
          <cell r="A50">
            <v>44</v>
          </cell>
          <cell r="B50">
            <v>9</v>
          </cell>
          <cell r="C50">
            <v>24737940</v>
          </cell>
          <cell r="D50" t="str">
            <v>no</v>
          </cell>
        </row>
        <row r="51">
          <cell r="A51">
            <v>45</v>
          </cell>
          <cell r="B51">
            <v>8</v>
          </cell>
          <cell r="C51">
            <v>24166750</v>
          </cell>
          <cell r="D51">
            <v>5</v>
          </cell>
        </row>
        <row r="52">
          <cell r="A52">
            <v>46</v>
          </cell>
          <cell r="B52">
            <v>9</v>
          </cell>
          <cell r="C52">
            <v>18756910</v>
          </cell>
          <cell r="D52">
            <v>4</v>
          </cell>
        </row>
        <row r="53">
          <cell r="A53">
            <v>47</v>
          </cell>
          <cell r="B53">
            <v>7</v>
          </cell>
          <cell r="C53">
            <v>3173900</v>
          </cell>
          <cell r="D53">
            <v>2</v>
          </cell>
        </row>
        <row r="54">
          <cell r="A54">
            <v>48</v>
          </cell>
          <cell r="B54">
            <v>8</v>
          </cell>
          <cell r="C54">
            <v>4418530</v>
          </cell>
          <cell r="D54">
            <v>2</v>
          </cell>
        </row>
        <row r="55">
          <cell r="A55">
            <v>49</v>
          </cell>
          <cell r="B55">
            <v>8</v>
          </cell>
          <cell r="C55">
            <v>19259100</v>
          </cell>
          <cell r="D55">
            <v>3</v>
          </cell>
        </row>
        <row r="56">
          <cell r="A56">
            <v>50</v>
          </cell>
          <cell r="B56">
            <v>7</v>
          </cell>
          <cell r="C56">
            <v>1252900</v>
          </cell>
          <cell r="D56">
            <v>2</v>
          </cell>
        </row>
        <row r="57">
          <cell r="A57">
            <v>51</v>
          </cell>
          <cell r="B57">
            <v>7</v>
          </cell>
          <cell r="C57">
            <v>2834880</v>
          </cell>
          <cell r="D57">
            <v>2</v>
          </cell>
        </row>
        <row r="58">
          <cell r="A58">
            <v>52</v>
          </cell>
          <cell r="B58">
            <v>7</v>
          </cell>
          <cell r="C58">
            <v>3554780</v>
          </cell>
          <cell r="D58">
            <v>2</v>
          </cell>
        </row>
        <row r="59">
          <cell r="A59">
            <v>53</v>
          </cell>
          <cell r="B59">
            <v>6</v>
          </cell>
          <cell r="C59">
            <v>1002270</v>
          </cell>
          <cell r="D59">
            <v>2</v>
          </cell>
        </row>
        <row r="60">
          <cell r="A60">
            <v>54</v>
          </cell>
          <cell r="B60">
            <v>6</v>
          </cell>
          <cell r="C60">
            <v>867340</v>
          </cell>
          <cell r="D60">
            <v>2</v>
          </cell>
        </row>
        <row r="61">
          <cell r="A61">
            <v>55</v>
          </cell>
          <cell r="B61">
            <v>4</v>
          </cell>
          <cell r="C61">
            <v>133500</v>
          </cell>
          <cell r="D61">
            <v>2</v>
          </cell>
        </row>
        <row r="62">
          <cell r="A62">
            <v>56</v>
          </cell>
          <cell r="B62">
            <v>3</v>
          </cell>
          <cell r="C62">
            <v>13964900</v>
          </cell>
          <cell r="D62">
            <v>1</v>
          </cell>
        </row>
        <row r="63">
          <cell r="A63">
            <v>57</v>
          </cell>
          <cell r="B63">
            <v>6</v>
          </cell>
          <cell r="C63">
            <v>588550</v>
          </cell>
          <cell r="D63">
            <v>1</v>
          </cell>
        </row>
        <row r="64">
          <cell r="A64">
            <v>59</v>
          </cell>
          <cell r="B64">
            <v>1</v>
          </cell>
          <cell r="C64">
            <v>44000</v>
          </cell>
          <cell r="D64">
            <v>1</v>
          </cell>
        </row>
        <row r="65">
          <cell r="A65">
            <v>62</v>
          </cell>
          <cell r="B65">
            <v>2</v>
          </cell>
          <cell r="C65">
            <v>121200</v>
          </cell>
          <cell r="D65">
            <v>1</v>
          </cell>
        </row>
        <row r="66">
          <cell r="A66">
            <v>63</v>
          </cell>
          <cell r="B66">
            <v>2</v>
          </cell>
          <cell r="C66">
            <v>62100</v>
          </cell>
          <cell r="D66">
            <v>1</v>
          </cell>
        </row>
        <row r="67">
          <cell r="A67">
            <v>70</v>
          </cell>
          <cell r="B67">
            <v>1</v>
          </cell>
          <cell r="C67">
            <v>30900</v>
          </cell>
          <cell r="D67">
            <v>1</v>
          </cell>
        </row>
        <row r="68">
          <cell r="A68">
            <v>80</v>
          </cell>
          <cell r="B68">
            <v>1</v>
          </cell>
          <cell r="C68">
            <v>770800</v>
          </cell>
          <cell r="D68">
            <v>1</v>
          </cell>
        </row>
        <row r="69">
          <cell r="A69" t="str">
            <v>0-10</v>
          </cell>
          <cell r="B69">
            <v>2</v>
          </cell>
          <cell r="C69">
            <v>63344800</v>
          </cell>
          <cell r="D69" t="str">
            <v>no</v>
          </cell>
        </row>
        <row r="70">
          <cell r="A70" t="str">
            <v>10-20</v>
          </cell>
          <cell r="B70">
            <v>2</v>
          </cell>
          <cell r="C70">
            <v>62855090</v>
          </cell>
          <cell r="D70" t="str">
            <v>no</v>
          </cell>
        </row>
        <row r="71">
          <cell r="A71" t="str">
            <v>20-30</v>
          </cell>
          <cell r="B71">
            <v>2</v>
          </cell>
          <cell r="C71">
            <v>83553000</v>
          </cell>
          <cell r="D71" t="str">
            <v>no</v>
          </cell>
        </row>
        <row r="72">
          <cell r="A72" t="str">
            <v>N/A</v>
          </cell>
          <cell r="B72">
            <v>3</v>
          </cell>
          <cell r="D72" t="str">
            <v>no</v>
          </cell>
        </row>
        <row r="73">
          <cell r="A73" t="str">
            <v>Grand Total</v>
          </cell>
          <cell r="B73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 t="str">
            <v>Contesti</v>
          </cell>
          <cell r="E8">
            <v>0.4</v>
          </cell>
        </row>
        <row r="9">
          <cell r="D9" t="str">
            <v>ASAU</v>
          </cell>
          <cell r="E9">
            <v>0.4</v>
          </cell>
        </row>
        <row r="10">
          <cell r="D10" t="str">
            <v>FARAOANI</v>
          </cell>
          <cell r="E10">
            <v>0.4</v>
          </cell>
        </row>
        <row r="11">
          <cell r="D11" t="str">
            <v>Tg. Trotus</v>
          </cell>
          <cell r="E11">
            <v>0.4</v>
          </cell>
        </row>
        <row r="15">
          <cell r="D15" t="str">
            <v>Belcesti</v>
          </cell>
          <cell r="E15">
            <v>0.4</v>
          </cell>
        </row>
        <row r="16">
          <cell r="D16" t="str">
            <v>Bularga</v>
          </cell>
          <cell r="E16">
            <v>0.4</v>
          </cell>
        </row>
        <row r="17">
          <cell r="D17" t="str">
            <v>Statia 110/20 Comarna</v>
          </cell>
          <cell r="E17">
            <v>0.45</v>
          </cell>
        </row>
        <row r="18">
          <cell r="D18" t="str">
            <v>Galata</v>
          </cell>
          <cell r="E18">
            <v>0.4</v>
          </cell>
        </row>
        <row r="19">
          <cell r="D19" t="str">
            <v>Statia 110/20 Harlau</v>
          </cell>
          <cell r="E19">
            <v>0.4</v>
          </cell>
        </row>
        <row r="20">
          <cell r="D20" t="str">
            <v>Statia 110/20/6 Manta Rosie</v>
          </cell>
          <cell r="E20">
            <v>0.4</v>
          </cell>
        </row>
        <row r="21">
          <cell r="D21" t="str">
            <v>Sculeni</v>
          </cell>
          <cell r="E21">
            <v>0.4</v>
          </cell>
        </row>
        <row r="22">
          <cell r="D22" t="str">
            <v>Trifesti</v>
          </cell>
          <cell r="E22">
            <v>0.45</v>
          </cell>
        </row>
        <row r="23">
          <cell r="D23" t="str">
            <v>Tutora</v>
          </cell>
          <cell r="E23">
            <v>0.4</v>
          </cell>
        </row>
        <row r="24">
          <cell r="D24" t="str">
            <v>Vladeni</v>
          </cell>
          <cell r="E24">
            <v>0.4</v>
          </cell>
        </row>
        <row r="25">
          <cell r="D25" t="str">
            <v>SRA1-Terom</v>
          </cell>
          <cell r="E25">
            <v>0.5</v>
          </cell>
        </row>
        <row r="26">
          <cell r="D26" t="str">
            <v>SRA2-Terom</v>
          </cell>
          <cell r="E26">
            <v>0.4</v>
          </cell>
        </row>
        <row r="27">
          <cell r="D27" t="str">
            <v>SRA Laminor</v>
          </cell>
          <cell r="E27">
            <v>0.5</v>
          </cell>
        </row>
        <row r="28">
          <cell r="D28" t="str">
            <v xml:space="preserve"> </v>
          </cell>
        </row>
        <row r="29">
          <cell r="D29" t="str">
            <v>Ciment</v>
          </cell>
          <cell r="E29">
            <v>0.5</v>
          </cell>
        </row>
        <row r="30">
          <cell r="D30" t="str">
            <v>Ciritei</v>
          </cell>
          <cell r="E30">
            <v>0.4</v>
          </cell>
        </row>
        <row r="31">
          <cell r="D31" t="str">
            <v>Roman IMR</v>
          </cell>
          <cell r="E31">
            <v>0.45</v>
          </cell>
        </row>
        <row r="32">
          <cell r="D32" t="str">
            <v>Roman Oras</v>
          </cell>
          <cell r="E32">
            <v>0.4</v>
          </cell>
        </row>
        <row r="33">
          <cell r="D33" t="str">
            <v>Savinesti</v>
          </cell>
          <cell r="E33">
            <v>0.5</v>
          </cell>
        </row>
        <row r="34">
          <cell r="D34" t="str">
            <v>Automecanica</v>
          </cell>
          <cell r="E34">
            <v>0.4</v>
          </cell>
        </row>
        <row r="35">
          <cell r="D35" t="str">
            <v>Barnar</v>
          </cell>
          <cell r="E35">
            <v>0.4</v>
          </cell>
        </row>
        <row r="36">
          <cell r="D36" t="str">
            <v>Delnita</v>
          </cell>
          <cell r="E36">
            <v>0.4</v>
          </cell>
        </row>
        <row r="37">
          <cell r="D37" t="str">
            <v>Iacobeni</v>
          </cell>
          <cell r="E37">
            <v>0.5</v>
          </cell>
        </row>
        <row r="38">
          <cell r="D38" t="str">
            <v>Radiatoare</v>
          </cell>
          <cell r="E38">
            <v>0.4</v>
          </cell>
        </row>
        <row r="39">
          <cell r="D39" t="str">
            <v>Rulmentul</v>
          </cell>
          <cell r="E39">
            <v>0.4</v>
          </cell>
        </row>
        <row r="40">
          <cell r="D40" t="str">
            <v>Tarnita</v>
          </cell>
          <cell r="E40">
            <v>0.4</v>
          </cell>
        </row>
        <row r="43">
          <cell r="D43" t="str">
            <v>Delea</v>
          </cell>
          <cell r="E43">
            <v>0.4</v>
          </cell>
        </row>
        <row r="44">
          <cell r="D44" t="str">
            <v>Rediu</v>
          </cell>
          <cell r="E44">
            <v>0.45</v>
          </cell>
        </row>
        <row r="45">
          <cell r="D45" t="str">
            <v>Rosiesti</v>
          </cell>
          <cell r="E45">
            <v>0.4</v>
          </cell>
        </row>
        <row r="46">
          <cell r="D46" t="str">
            <v>Moldosin</v>
          </cell>
          <cell r="E46">
            <v>0.45</v>
          </cell>
        </row>
        <row r="47">
          <cell r="D47" t="str">
            <v>SRA CTU</v>
          </cell>
          <cell r="E47">
            <v>0.5</v>
          </cell>
        </row>
        <row r="48">
          <cell r="D48" t="str">
            <v>Vaslui</v>
          </cell>
          <cell r="E48">
            <v>0.4</v>
          </cell>
        </row>
      </sheetData>
      <sheetData sheetId="12"/>
      <sheetData sheetId="13">
        <row r="1">
          <cell r="J1" t="str">
            <v>Analogue</v>
          </cell>
          <cell r="K1">
            <v>0.6</v>
          </cell>
        </row>
        <row r="2">
          <cell r="J2" t="str">
            <v>Computerized</v>
          </cell>
          <cell r="K2">
            <v>0</v>
          </cell>
        </row>
        <row r="3">
          <cell r="J3" t="str">
            <v>Hibrid</v>
          </cell>
          <cell r="K3">
            <v>0.4</v>
          </cell>
        </row>
        <row r="4">
          <cell r="J4" t="str">
            <v>Modern</v>
          </cell>
          <cell r="K4">
            <v>0.2</v>
          </cell>
        </row>
        <row r="5">
          <cell r="J5" t="str">
            <v>Unknown</v>
          </cell>
          <cell r="K5">
            <v>0</v>
          </cell>
        </row>
        <row r="6">
          <cell r="H6" t="str">
            <v>Abator20</v>
          </cell>
          <cell r="I6" t="str">
            <v>Abator</v>
          </cell>
          <cell r="J6">
            <v>20</v>
          </cell>
          <cell r="K6" t="str">
            <v>Analogue</v>
          </cell>
        </row>
        <row r="7">
          <cell r="H7" t="str">
            <v>Abator110</v>
          </cell>
          <cell r="I7" t="str">
            <v>Abator</v>
          </cell>
          <cell r="J7">
            <v>110</v>
          </cell>
          <cell r="K7" t="str">
            <v>Analogue</v>
          </cell>
        </row>
        <row r="8">
          <cell r="H8" t="str">
            <v>Asau110</v>
          </cell>
          <cell r="I8" t="str">
            <v>Asau</v>
          </cell>
          <cell r="J8">
            <v>110</v>
          </cell>
          <cell r="K8" t="str">
            <v>Analogue</v>
          </cell>
        </row>
        <row r="9">
          <cell r="H9" t="str">
            <v>Automecanica6</v>
          </cell>
          <cell r="I9" t="str">
            <v>Automecanica</v>
          </cell>
          <cell r="J9">
            <v>6</v>
          </cell>
          <cell r="K9" t="str">
            <v>Analogue</v>
          </cell>
        </row>
        <row r="10">
          <cell r="H10" t="str">
            <v>Automecanica110</v>
          </cell>
          <cell r="I10" t="str">
            <v>Automecanica</v>
          </cell>
          <cell r="J10">
            <v>110</v>
          </cell>
          <cell r="K10" t="str">
            <v>Analogue</v>
          </cell>
        </row>
        <row r="11">
          <cell r="H11" t="str">
            <v>B46</v>
          </cell>
          <cell r="I11" t="str">
            <v>B4</v>
          </cell>
          <cell r="J11">
            <v>6</v>
          </cell>
          <cell r="K11" t="str">
            <v>Analogue</v>
          </cell>
        </row>
        <row r="12">
          <cell r="H12" t="str">
            <v>B420</v>
          </cell>
          <cell r="I12" t="str">
            <v>B4</v>
          </cell>
          <cell r="J12">
            <v>20</v>
          </cell>
          <cell r="K12" t="str">
            <v>Analogue</v>
          </cell>
        </row>
        <row r="13">
          <cell r="H13" t="str">
            <v>B4110</v>
          </cell>
          <cell r="I13" t="str">
            <v>B4</v>
          </cell>
          <cell r="J13">
            <v>110</v>
          </cell>
          <cell r="K13" t="str">
            <v>Analogue</v>
          </cell>
        </row>
        <row r="14">
          <cell r="H14" t="str">
            <v>Bacovia20</v>
          </cell>
          <cell r="I14" t="str">
            <v>Bacovia</v>
          </cell>
          <cell r="J14">
            <v>20</v>
          </cell>
          <cell r="K14" t="str">
            <v>Analogue</v>
          </cell>
        </row>
        <row r="15">
          <cell r="H15" t="str">
            <v>Balcescu110</v>
          </cell>
          <cell r="I15" t="str">
            <v>Balcescu</v>
          </cell>
          <cell r="J15">
            <v>110</v>
          </cell>
          <cell r="K15" t="str">
            <v>Analogue</v>
          </cell>
        </row>
        <row r="16">
          <cell r="H16" t="str">
            <v>Balcescu110</v>
          </cell>
          <cell r="I16" t="str">
            <v>Balcescu</v>
          </cell>
          <cell r="J16">
            <v>110</v>
          </cell>
          <cell r="K16" t="str">
            <v>Hibrid</v>
          </cell>
        </row>
        <row r="17">
          <cell r="H17" t="str">
            <v>Barlad20</v>
          </cell>
          <cell r="I17" t="str">
            <v>Barlad</v>
          </cell>
          <cell r="J17">
            <v>20</v>
          </cell>
          <cell r="K17" t="str">
            <v>Analogue</v>
          </cell>
        </row>
        <row r="18">
          <cell r="H18" t="str">
            <v>Barlad110</v>
          </cell>
          <cell r="I18" t="str">
            <v>Barlad</v>
          </cell>
          <cell r="J18">
            <v>110</v>
          </cell>
          <cell r="K18" t="str">
            <v>Analogue</v>
          </cell>
        </row>
        <row r="19">
          <cell r="H19" t="str">
            <v>Barnar20</v>
          </cell>
          <cell r="I19" t="str">
            <v>Barnar</v>
          </cell>
          <cell r="J19">
            <v>20</v>
          </cell>
          <cell r="K19" t="str">
            <v>Hibrid</v>
          </cell>
        </row>
        <row r="20">
          <cell r="H20" t="str">
            <v>Barnar110</v>
          </cell>
          <cell r="I20" t="str">
            <v>Barnar</v>
          </cell>
          <cell r="J20">
            <v>110</v>
          </cell>
          <cell r="K20" t="str">
            <v>Modern</v>
          </cell>
        </row>
        <row r="21">
          <cell r="H21" t="str">
            <v>Belcesti20</v>
          </cell>
          <cell r="I21" t="str">
            <v>Belcesti</v>
          </cell>
          <cell r="J21">
            <v>20</v>
          </cell>
          <cell r="K21" t="str">
            <v>Analogue</v>
          </cell>
        </row>
        <row r="22">
          <cell r="H22" t="str">
            <v>Belcesti110</v>
          </cell>
          <cell r="I22" t="str">
            <v>Belcesti</v>
          </cell>
          <cell r="J22">
            <v>110</v>
          </cell>
          <cell r="K22" t="str">
            <v>Analogue</v>
          </cell>
        </row>
        <row r="23">
          <cell r="H23" t="str">
            <v>Blocuri20</v>
          </cell>
          <cell r="I23" t="str">
            <v>Blocuri</v>
          </cell>
          <cell r="J23">
            <v>20</v>
          </cell>
          <cell r="K23" t="str">
            <v>Analogue</v>
          </cell>
        </row>
        <row r="24">
          <cell r="H24" t="str">
            <v>Blocuri110</v>
          </cell>
          <cell r="I24" t="str">
            <v>Blocuri</v>
          </cell>
          <cell r="J24">
            <v>110</v>
          </cell>
          <cell r="K24" t="str">
            <v>Analogue</v>
          </cell>
        </row>
        <row r="25">
          <cell r="H25" t="str">
            <v>Bolatau10</v>
          </cell>
          <cell r="I25" t="str">
            <v>Bolatau</v>
          </cell>
          <cell r="J25">
            <v>10</v>
          </cell>
          <cell r="K25" t="str">
            <v>Analogue</v>
          </cell>
        </row>
        <row r="26">
          <cell r="H26" t="str">
            <v>Bolatau20</v>
          </cell>
          <cell r="I26" t="str">
            <v>Bolatau</v>
          </cell>
          <cell r="J26">
            <v>20</v>
          </cell>
          <cell r="K26" t="str">
            <v>Analogue</v>
          </cell>
        </row>
        <row r="27">
          <cell r="H27" t="str">
            <v>Bolovanis20</v>
          </cell>
          <cell r="I27" t="str">
            <v>Bolovanis</v>
          </cell>
          <cell r="J27">
            <v>20</v>
          </cell>
          <cell r="K27" t="str">
            <v>Analogue</v>
          </cell>
        </row>
        <row r="28">
          <cell r="H28" t="str">
            <v>Bolovanis110</v>
          </cell>
          <cell r="I28" t="str">
            <v>Bolovanis</v>
          </cell>
          <cell r="J28">
            <v>110</v>
          </cell>
          <cell r="K28" t="str">
            <v>Analogue</v>
          </cell>
        </row>
        <row r="29">
          <cell r="H29" t="str">
            <v>Botosani6</v>
          </cell>
          <cell r="I29" t="str">
            <v>Botosani</v>
          </cell>
          <cell r="J29">
            <v>6</v>
          </cell>
          <cell r="K29" t="str">
            <v>Hibrid</v>
          </cell>
        </row>
        <row r="30">
          <cell r="H30" t="str">
            <v>Botosani20</v>
          </cell>
          <cell r="I30" t="str">
            <v>Botosani</v>
          </cell>
          <cell r="J30">
            <v>20</v>
          </cell>
          <cell r="K30" t="str">
            <v>Analogue</v>
          </cell>
        </row>
        <row r="31">
          <cell r="H31" t="str">
            <v>Botosani110</v>
          </cell>
          <cell r="I31" t="str">
            <v>Botosani</v>
          </cell>
          <cell r="J31">
            <v>110</v>
          </cell>
          <cell r="K31" t="str">
            <v>Analogue</v>
          </cell>
        </row>
        <row r="32">
          <cell r="H32" t="str">
            <v>Breazu6</v>
          </cell>
          <cell r="I32" t="str">
            <v>Breazu</v>
          </cell>
          <cell r="J32">
            <v>6</v>
          </cell>
          <cell r="K32" t="str">
            <v>Analogue</v>
          </cell>
        </row>
        <row r="33">
          <cell r="H33" t="str">
            <v>Breazu20</v>
          </cell>
          <cell r="I33" t="str">
            <v>Breazu</v>
          </cell>
          <cell r="J33">
            <v>20</v>
          </cell>
          <cell r="K33" t="str">
            <v>Analogue</v>
          </cell>
        </row>
        <row r="34">
          <cell r="H34" t="str">
            <v>Breazu110</v>
          </cell>
          <cell r="I34" t="str">
            <v>Breazu</v>
          </cell>
          <cell r="J34">
            <v>110</v>
          </cell>
          <cell r="K34" t="str">
            <v>Analogue</v>
          </cell>
        </row>
        <row r="35">
          <cell r="H35" t="str">
            <v>Bucecea20</v>
          </cell>
          <cell r="I35" t="str">
            <v>Bucecea</v>
          </cell>
          <cell r="J35">
            <v>20</v>
          </cell>
          <cell r="K35" t="str">
            <v>Analogue</v>
          </cell>
        </row>
        <row r="36">
          <cell r="H36" t="str">
            <v>Bucecea110</v>
          </cell>
          <cell r="I36" t="str">
            <v>Bucecea</v>
          </cell>
          <cell r="J36">
            <v>110</v>
          </cell>
          <cell r="K36" t="str">
            <v>Analogue</v>
          </cell>
        </row>
        <row r="37">
          <cell r="H37" t="str">
            <v>Buhusi6</v>
          </cell>
          <cell r="I37" t="str">
            <v>Buhusi</v>
          </cell>
          <cell r="J37">
            <v>6</v>
          </cell>
          <cell r="K37" t="str">
            <v>Analogue</v>
          </cell>
        </row>
        <row r="38">
          <cell r="H38" t="str">
            <v>Buhusi20</v>
          </cell>
          <cell r="I38" t="str">
            <v>Buhusi</v>
          </cell>
          <cell r="J38">
            <v>20</v>
          </cell>
          <cell r="K38" t="str">
            <v>Analogue</v>
          </cell>
        </row>
        <row r="39">
          <cell r="H39" t="str">
            <v>Buhusi110</v>
          </cell>
          <cell r="I39" t="str">
            <v>Buhusi</v>
          </cell>
          <cell r="J39">
            <v>110</v>
          </cell>
          <cell r="K39" t="str">
            <v>Analogue</v>
          </cell>
        </row>
        <row r="40">
          <cell r="H40" t="str">
            <v>Bularga20</v>
          </cell>
          <cell r="I40" t="str">
            <v>Bularga</v>
          </cell>
          <cell r="J40">
            <v>20</v>
          </cell>
          <cell r="K40" t="str">
            <v>Analogue</v>
          </cell>
        </row>
        <row r="41">
          <cell r="H41" t="str">
            <v>Bularga110</v>
          </cell>
          <cell r="I41" t="str">
            <v>Bularga</v>
          </cell>
          <cell r="J41">
            <v>110</v>
          </cell>
          <cell r="K41" t="str">
            <v>Analogue</v>
          </cell>
        </row>
        <row r="42">
          <cell r="H42" t="str">
            <v>Burdujeni20</v>
          </cell>
          <cell r="I42" t="str">
            <v>Burdujeni</v>
          </cell>
          <cell r="J42">
            <v>20</v>
          </cell>
          <cell r="K42" t="str">
            <v>Analogue</v>
          </cell>
        </row>
        <row r="43">
          <cell r="H43" t="str">
            <v>Burdujeni110</v>
          </cell>
          <cell r="I43" t="str">
            <v>Burdujeni</v>
          </cell>
          <cell r="J43">
            <v>110</v>
          </cell>
          <cell r="K43" t="str">
            <v>Analogue</v>
          </cell>
        </row>
        <row r="44">
          <cell r="H44" t="str">
            <v>Campulung20</v>
          </cell>
          <cell r="I44" t="str">
            <v>Campulung</v>
          </cell>
          <cell r="J44">
            <v>20</v>
          </cell>
          <cell r="K44" t="str">
            <v>Analogue</v>
          </cell>
        </row>
        <row r="45">
          <cell r="H45" t="str">
            <v>Campulung110</v>
          </cell>
          <cell r="I45" t="str">
            <v>Campulung</v>
          </cell>
          <cell r="J45">
            <v>110</v>
          </cell>
          <cell r="K45" t="str">
            <v>Analogue</v>
          </cell>
        </row>
        <row r="46">
          <cell r="H46" t="str">
            <v>Carbonifera6</v>
          </cell>
          <cell r="I46" t="str">
            <v>Carbonifera</v>
          </cell>
          <cell r="J46">
            <v>6</v>
          </cell>
          <cell r="K46" t="str">
            <v>Analogue</v>
          </cell>
        </row>
        <row r="47">
          <cell r="H47" t="str">
            <v>Carbonifera20</v>
          </cell>
          <cell r="I47" t="str">
            <v>Carbonifera</v>
          </cell>
          <cell r="J47">
            <v>20</v>
          </cell>
          <cell r="K47" t="str">
            <v>Analogue</v>
          </cell>
        </row>
        <row r="48">
          <cell r="H48" t="str">
            <v>Cariera6</v>
          </cell>
          <cell r="I48" t="str">
            <v>Cariera</v>
          </cell>
          <cell r="J48">
            <v>6</v>
          </cell>
          <cell r="K48" t="str">
            <v>Analogue</v>
          </cell>
        </row>
        <row r="49">
          <cell r="H49" t="str">
            <v>Cariera20</v>
          </cell>
          <cell r="I49" t="str">
            <v>Cariera</v>
          </cell>
          <cell r="J49">
            <v>20</v>
          </cell>
          <cell r="K49" t="str">
            <v>Analogue</v>
          </cell>
        </row>
        <row r="50">
          <cell r="H50" t="str">
            <v>Cariera110</v>
          </cell>
          <cell r="I50" t="str">
            <v>Cariera</v>
          </cell>
          <cell r="J50">
            <v>110</v>
          </cell>
          <cell r="K50" t="str">
            <v>Analogue</v>
          </cell>
        </row>
        <row r="51">
          <cell r="H51" t="str">
            <v>Catamarasti20</v>
          </cell>
          <cell r="I51" t="str">
            <v>Catamarasti</v>
          </cell>
          <cell r="J51">
            <v>20</v>
          </cell>
          <cell r="K51" t="str">
            <v>Analogue</v>
          </cell>
        </row>
        <row r="52">
          <cell r="H52" t="str">
            <v>Catamarasti110</v>
          </cell>
          <cell r="I52" t="str">
            <v>Catamarasti</v>
          </cell>
          <cell r="J52">
            <v>110</v>
          </cell>
          <cell r="K52" t="str">
            <v>Analogue</v>
          </cell>
        </row>
        <row r="53">
          <cell r="H53" t="str">
            <v>Centru6</v>
          </cell>
          <cell r="I53" t="str">
            <v>Centru</v>
          </cell>
          <cell r="J53">
            <v>6</v>
          </cell>
          <cell r="K53" t="str">
            <v>Computerized</v>
          </cell>
        </row>
        <row r="54">
          <cell r="H54" t="str">
            <v>Centru20</v>
          </cell>
          <cell r="I54" t="str">
            <v>Centru</v>
          </cell>
          <cell r="J54">
            <v>20</v>
          </cell>
          <cell r="K54" t="str">
            <v>Analogue</v>
          </cell>
        </row>
        <row r="55">
          <cell r="H55" t="str">
            <v>Centru110</v>
          </cell>
          <cell r="I55" t="str">
            <v>Centru</v>
          </cell>
          <cell r="J55">
            <v>110</v>
          </cell>
          <cell r="K55" t="str">
            <v>Analogue</v>
          </cell>
        </row>
        <row r="56">
          <cell r="H56" t="str">
            <v>Ciment6</v>
          </cell>
          <cell r="I56" t="str">
            <v>Ciment</v>
          </cell>
          <cell r="J56">
            <v>6</v>
          </cell>
          <cell r="K56" t="str">
            <v>Analogue</v>
          </cell>
        </row>
        <row r="57">
          <cell r="H57" t="str">
            <v>Ciment110</v>
          </cell>
          <cell r="I57" t="str">
            <v>Ciment</v>
          </cell>
          <cell r="J57">
            <v>110</v>
          </cell>
          <cell r="K57" t="str">
            <v>Analogue</v>
          </cell>
        </row>
        <row r="58">
          <cell r="H58" t="str">
            <v>Ciritei6</v>
          </cell>
          <cell r="I58" t="str">
            <v>Ciritei</v>
          </cell>
          <cell r="J58">
            <v>6</v>
          </cell>
          <cell r="K58" t="str">
            <v>Analogue</v>
          </cell>
        </row>
        <row r="59">
          <cell r="H59" t="str">
            <v>Ciritei20</v>
          </cell>
          <cell r="I59" t="str">
            <v>Ciritei</v>
          </cell>
          <cell r="J59">
            <v>20</v>
          </cell>
          <cell r="K59" t="str">
            <v>Hibrid</v>
          </cell>
        </row>
        <row r="60">
          <cell r="H60" t="str">
            <v>Ciritei110</v>
          </cell>
          <cell r="I60" t="str">
            <v>Ciritei</v>
          </cell>
          <cell r="J60">
            <v>110</v>
          </cell>
          <cell r="K60" t="str">
            <v>Analogue</v>
          </cell>
        </row>
        <row r="61">
          <cell r="H61" t="str">
            <v>Comanesti6</v>
          </cell>
          <cell r="I61" t="str">
            <v>Comanesti</v>
          </cell>
          <cell r="J61">
            <v>6</v>
          </cell>
          <cell r="K61" t="str">
            <v>Computerized</v>
          </cell>
        </row>
        <row r="62">
          <cell r="H62" t="str">
            <v>Comanesti20</v>
          </cell>
          <cell r="I62" t="str">
            <v>Comanesti</v>
          </cell>
          <cell r="J62">
            <v>20</v>
          </cell>
          <cell r="K62" t="str">
            <v>Computerized</v>
          </cell>
        </row>
        <row r="63">
          <cell r="H63" t="str">
            <v>Comanesti110</v>
          </cell>
          <cell r="I63" t="str">
            <v>Comanesti</v>
          </cell>
          <cell r="J63">
            <v>110</v>
          </cell>
          <cell r="K63" t="str">
            <v>Computerized</v>
          </cell>
        </row>
        <row r="64">
          <cell r="H64" t="str">
            <v>Combinat6</v>
          </cell>
          <cell r="I64" t="str">
            <v>Combinat</v>
          </cell>
          <cell r="J64">
            <v>6</v>
          </cell>
          <cell r="K64" t="str">
            <v>Analogue</v>
          </cell>
        </row>
        <row r="65">
          <cell r="H65" t="str">
            <v>Combinat110</v>
          </cell>
          <cell r="I65" t="str">
            <v>Combinat</v>
          </cell>
          <cell r="J65">
            <v>110</v>
          </cell>
          <cell r="K65" t="str">
            <v>Analogue</v>
          </cell>
        </row>
        <row r="66">
          <cell r="H66" t="str">
            <v>Conex110</v>
          </cell>
          <cell r="I66" t="str">
            <v>Conex</v>
          </cell>
          <cell r="J66">
            <v>110</v>
          </cell>
          <cell r="K66" t="str">
            <v>Analogue</v>
          </cell>
        </row>
        <row r="67">
          <cell r="H67" t="str">
            <v>Contesti20</v>
          </cell>
          <cell r="I67" t="str">
            <v>Contesti</v>
          </cell>
          <cell r="J67">
            <v>20</v>
          </cell>
          <cell r="K67" t="str">
            <v>Analogue</v>
          </cell>
        </row>
        <row r="68">
          <cell r="H68" t="str">
            <v>Contesti110</v>
          </cell>
          <cell r="I68" t="str">
            <v>Contesti</v>
          </cell>
          <cell r="J68">
            <v>110</v>
          </cell>
          <cell r="K68" t="str">
            <v>Analogue</v>
          </cell>
        </row>
        <row r="69">
          <cell r="H69" t="str">
            <v>Crang20</v>
          </cell>
          <cell r="I69" t="str">
            <v>Crang</v>
          </cell>
          <cell r="J69">
            <v>20</v>
          </cell>
          <cell r="K69" t="str">
            <v>Analogue</v>
          </cell>
        </row>
        <row r="70">
          <cell r="H70" t="str">
            <v>Crang110</v>
          </cell>
          <cell r="I70" t="str">
            <v>Crang</v>
          </cell>
          <cell r="J70">
            <v>110</v>
          </cell>
          <cell r="K70" t="str">
            <v>Analogue</v>
          </cell>
        </row>
        <row r="71">
          <cell r="H71" t="str">
            <v>Darabani20</v>
          </cell>
          <cell r="I71" t="str">
            <v>Darabani</v>
          </cell>
          <cell r="J71">
            <v>20</v>
          </cell>
          <cell r="K71" t="str">
            <v>Analogue</v>
          </cell>
        </row>
        <row r="72">
          <cell r="H72" t="str">
            <v>Darabani110</v>
          </cell>
          <cell r="I72" t="str">
            <v>Darabani</v>
          </cell>
          <cell r="J72">
            <v>110</v>
          </cell>
          <cell r="K72" t="str">
            <v>Analogue</v>
          </cell>
        </row>
        <row r="73">
          <cell r="H73" t="str">
            <v>Darmanesti6</v>
          </cell>
          <cell r="I73" t="str">
            <v>Darmanesti</v>
          </cell>
          <cell r="J73">
            <v>6</v>
          </cell>
          <cell r="K73" t="str">
            <v>Analogue</v>
          </cell>
        </row>
        <row r="74">
          <cell r="H74" t="str">
            <v>Darmanesti20</v>
          </cell>
          <cell r="I74" t="str">
            <v>Darmanesti</v>
          </cell>
          <cell r="J74">
            <v>20</v>
          </cell>
          <cell r="K74" t="str">
            <v>Analogue</v>
          </cell>
        </row>
        <row r="75">
          <cell r="H75" t="str">
            <v>Darmanesti110</v>
          </cell>
          <cell r="I75" t="str">
            <v>Darmanesti</v>
          </cell>
          <cell r="J75">
            <v>110</v>
          </cell>
          <cell r="K75" t="str">
            <v>Analogue</v>
          </cell>
        </row>
        <row r="76">
          <cell r="H76" t="str">
            <v>Delea20</v>
          </cell>
          <cell r="I76" t="str">
            <v>Delea</v>
          </cell>
          <cell r="J76">
            <v>20</v>
          </cell>
          <cell r="K76" t="str">
            <v>Analogue</v>
          </cell>
        </row>
        <row r="77">
          <cell r="H77" t="str">
            <v>Delea110</v>
          </cell>
          <cell r="I77" t="str">
            <v>Delea</v>
          </cell>
          <cell r="J77">
            <v>110</v>
          </cell>
          <cell r="K77" t="str">
            <v>Analogue</v>
          </cell>
        </row>
        <row r="78">
          <cell r="H78" t="str">
            <v>Delnita20</v>
          </cell>
          <cell r="I78" t="str">
            <v>Delnita</v>
          </cell>
          <cell r="J78">
            <v>20</v>
          </cell>
          <cell r="K78" t="str">
            <v>Analogue</v>
          </cell>
        </row>
        <row r="79">
          <cell r="H79" t="str">
            <v>Delnita110</v>
          </cell>
          <cell r="I79" t="str">
            <v>Delnita</v>
          </cell>
          <cell r="J79">
            <v>110</v>
          </cell>
          <cell r="K79" t="str">
            <v>Analogue</v>
          </cell>
        </row>
        <row r="80">
          <cell r="H80" t="str">
            <v>Dodeni20</v>
          </cell>
          <cell r="I80" t="str">
            <v>Dodeni</v>
          </cell>
          <cell r="J80">
            <v>20</v>
          </cell>
          <cell r="K80" t="str">
            <v>Analogue</v>
          </cell>
        </row>
        <row r="81">
          <cell r="H81" t="str">
            <v>Dodeni110</v>
          </cell>
          <cell r="I81" t="str">
            <v>Dodeni</v>
          </cell>
          <cell r="J81">
            <v>110</v>
          </cell>
          <cell r="K81" t="str">
            <v>Analogue</v>
          </cell>
        </row>
        <row r="82">
          <cell r="H82" t="str">
            <v>Dolhasca20</v>
          </cell>
          <cell r="I82" t="str">
            <v>Dolhasca</v>
          </cell>
          <cell r="J82">
            <v>20</v>
          </cell>
          <cell r="K82" t="str">
            <v>Analogue</v>
          </cell>
        </row>
        <row r="83">
          <cell r="H83" t="str">
            <v>Dolhasca110</v>
          </cell>
          <cell r="I83" t="str">
            <v>Dolhasca</v>
          </cell>
          <cell r="J83">
            <v>110</v>
          </cell>
          <cell r="K83" t="str">
            <v>Analogue</v>
          </cell>
        </row>
        <row r="84">
          <cell r="H84" t="str">
            <v>Dorohoi20</v>
          </cell>
          <cell r="I84" t="str">
            <v>Dorohoi</v>
          </cell>
          <cell r="J84">
            <v>20</v>
          </cell>
          <cell r="K84" t="str">
            <v>Analogue</v>
          </cell>
        </row>
        <row r="85">
          <cell r="H85" t="str">
            <v>Dorohoi110</v>
          </cell>
          <cell r="I85" t="str">
            <v>Dorohoi</v>
          </cell>
          <cell r="J85">
            <v>110</v>
          </cell>
          <cell r="K85" t="str">
            <v>Analogue</v>
          </cell>
        </row>
        <row r="86">
          <cell r="H86" t="str">
            <v>Falciu20</v>
          </cell>
          <cell r="I86" t="str">
            <v>Falciu</v>
          </cell>
          <cell r="J86">
            <v>20</v>
          </cell>
          <cell r="K86" t="str">
            <v>Analogue</v>
          </cell>
        </row>
        <row r="87">
          <cell r="H87" t="str">
            <v>Falciu110</v>
          </cell>
          <cell r="I87" t="str">
            <v>Falciu</v>
          </cell>
          <cell r="J87">
            <v>110</v>
          </cell>
          <cell r="K87" t="str">
            <v>Hibrid</v>
          </cell>
        </row>
        <row r="88">
          <cell r="H88" t="str">
            <v>Falticeni20</v>
          </cell>
          <cell r="I88" t="str">
            <v>Falticeni</v>
          </cell>
          <cell r="J88">
            <v>20</v>
          </cell>
          <cell r="K88" t="str">
            <v>Analogue</v>
          </cell>
        </row>
        <row r="89">
          <cell r="H89" t="str">
            <v>Falticeni110</v>
          </cell>
          <cell r="I89" t="str">
            <v>Falticeni</v>
          </cell>
          <cell r="J89">
            <v>110</v>
          </cell>
          <cell r="K89" t="str">
            <v>Analogue</v>
          </cell>
        </row>
        <row r="90">
          <cell r="H90" t="str">
            <v>Faraoani110</v>
          </cell>
          <cell r="I90" t="str">
            <v>Faraoani</v>
          </cell>
          <cell r="J90">
            <v>110</v>
          </cell>
          <cell r="K90" t="str">
            <v>Analogue</v>
          </cell>
        </row>
        <row r="91">
          <cell r="H91" t="str">
            <v>Flaminzi20</v>
          </cell>
          <cell r="I91" t="str">
            <v>Flaminzi</v>
          </cell>
          <cell r="J91">
            <v>20</v>
          </cell>
          <cell r="K91" t="str">
            <v>Analogue</v>
          </cell>
        </row>
        <row r="92">
          <cell r="H92" t="str">
            <v>Flipesti20</v>
          </cell>
          <cell r="I92" t="str">
            <v>Flipesti</v>
          </cell>
          <cell r="J92">
            <v>20</v>
          </cell>
          <cell r="K92" t="str">
            <v>Analogue</v>
          </cell>
        </row>
        <row r="93">
          <cell r="H93" t="str">
            <v>Flipesti110</v>
          </cell>
          <cell r="I93" t="str">
            <v>Flipesti</v>
          </cell>
          <cell r="J93">
            <v>110</v>
          </cell>
          <cell r="K93" t="str">
            <v>Analogue</v>
          </cell>
        </row>
        <row r="94">
          <cell r="H94" t="str">
            <v>Frasin20</v>
          </cell>
          <cell r="I94" t="str">
            <v>Frasin</v>
          </cell>
          <cell r="J94">
            <v>20</v>
          </cell>
          <cell r="K94" t="str">
            <v>Analogue</v>
          </cell>
        </row>
        <row r="95">
          <cell r="H95" t="str">
            <v>Frasin110</v>
          </cell>
          <cell r="I95" t="str">
            <v>Frasin</v>
          </cell>
          <cell r="J95">
            <v>110</v>
          </cell>
          <cell r="K95" t="str">
            <v>Hibrid</v>
          </cell>
        </row>
        <row r="96">
          <cell r="H96" t="str">
            <v>Galata110</v>
          </cell>
          <cell r="I96" t="str">
            <v>Galata</v>
          </cell>
          <cell r="J96">
            <v>110</v>
          </cell>
          <cell r="K96" t="str">
            <v>Analogue</v>
          </cell>
        </row>
        <row r="97">
          <cell r="H97" t="str">
            <v>Gheraiesti20</v>
          </cell>
          <cell r="I97" t="str">
            <v>Gheraiesti</v>
          </cell>
          <cell r="J97">
            <v>20</v>
          </cell>
          <cell r="K97" t="str">
            <v>Analogue</v>
          </cell>
        </row>
        <row r="98">
          <cell r="H98" t="str">
            <v>Gheraiesti110</v>
          </cell>
          <cell r="I98" t="str">
            <v>Gheraiesti</v>
          </cell>
          <cell r="J98">
            <v>110</v>
          </cell>
          <cell r="K98" t="str">
            <v>Analogue</v>
          </cell>
        </row>
        <row r="99">
          <cell r="H99" t="str">
            <v>Glavanesti20</v>
          </cell>
          <cell r="I99" t="str">
            <v>Glavanesti</v>
          </cell>
          <cell r="J99">
            <v>20</v>
          </cell>
          <cell r="K99" t="str">
            <v>Analogue</v>
          </cell>
        </row>
        <row r="100">
          <cell r="H100" t="str">
            <v>Glavanesti110</v>
          </cell>
          <cell r="I100" t="str">
            <v>Glavanesti</v>
          </cell>
          <cell r="J100">
            <v>110</v>
          </cell>
          <cell r="K100" t="str">
            <v>Analogue</v>
          </cell>
        </row>
        <row r="101">
          <cell r="H101" t="str">
            <v>Hudum20</v>
          </cell>
          <cell r="I101" t="str">
            <v>Hudum</v>
          </cell>
          <cell r="J101">
            <v>20</v>
          </cell>
          <cell r="K101" t="str">
            <v>Hibrid</v>
          </cell>
        </row>
        <row r="102">
          <cell r="H102" t="str">
            <v>Hudum110</v>
          </cell>
          <cell r="I102" t="str">
            <v>Hudum</v>
          </cell>
          <cell r="J102">
            <v>110</v>
          </cell>
          <cell r="K102" t="str">
            <v>Analogue</v>
          </cell>
        </row>
        <row r="103">
          <cell r="H103" t="str">
            <v>Humor20</v>
          </cell>
          <cell r="I103" t="str">
            <v>Humor</v>
          </cell>
          <cell r="J103">
            <v>20</v>
          </cell>
          <cell r="K103" t="str">
            <v>Analogue</v>
          </cell>
        </row>
        <row r="104">
          <cell r="H104" t="str">
            <v>Humor110</v>
          </cell>
          <cell r="I104" t="str">
            <v>Humor</v>
          </cell>
          <cell r="J104">
            <v>110</v>
          </cell>
          <cell r="K104" t="str">
            <v>Analogue</v>
          </cell>
        </row>
        <row r="105">
          <cell r="H105" t="str">
            <v>Hurmuzachi20</v>
          </cell>
          <cell r="I105" t="str">
            <v>Hurmuzachi</v>
          </cell>
          <cell r="J105">
            <v>20</v>
          </cell>
          <cell r="K105" t="str">
            <v>Analogue</v>
          </cell>
        </row>
        <row r="106">
          <cell r="H106" t="str">
            <v>Hurmuzachi110</v>
          </cell>
          <cell r="I106" t="str">
            <v>Hurmuzachi</v>
          </cell>
          <cell r="J106">
            <v>110</v>
          </cell>
          <cell r="K106" t="str">
            <v>Analogue</v>
          </cell>
        </row>
        <row r="107">
          <cell r="H107" t="str">
            <v>Husi20</v>
          </cell>
          <cell r="I107" t="str">
            <v>Husi</v>
          </cell>
          <cell r="J107">
            <v>20</v>
          </cell>
          <cell r="K107" t="str">
            <v>Analogue</v>
          </cell>
        </row>
        <row r="108">
          <cell r="H108" t="str">
            <v>Husi110</v>
          </cell>
          <cell r="I108" t="str">
            <v>Husi</v>
          </cell>
          <cell r="J108">
            <v>110</v>
          </cell>
          <cell r="K108" t="str">
            <v>Analogue</v>
          </cell>
        </row>
        <row r="109">
          <cell r="H109" t="str">
            <v>Iacobeni20</v>
          </cell>
          <cell r="I109" t="str">
            <v>Iacobeni</v>
          </cell>
          <cell r="J109">
            <v>20</v>
          </cell>
          <cell r="K109" t="str">
            <v>Analogue</v>
          </cell>
        </row>
        <row r="110">
          <cell r="H110" t="str">
            <v>Iacobeni110</v>
          </cell>
          <cell r="I110" t="str">
            <v>Iacobeni</v>
          </cell>
          <cell r="J110">
            <v>110</v>
          </cell>
          <cell r="K110" t="str">
            <v>Analogue</v>
          </cell>
        </row>
        <row r="111">
          <cell r="H111" t="str">
            <v>Iasi Sud6</v>
          </cell>
          <cell r="I111" t="str">
            <v>Iasi Sud</v>
          </cell>
          <cell r="J111">
            <v>6</v>
          </cell>
          <cell r="K111" t="str">
            <v>Analogue</v>
          </cell>
        </row>
        <row r="112">
          <cell r="H112" t="str">
            <v>Iasi Sud20</v>
          </cell>
          <cell r="I112" t="str">
            <v>Iasi Sud</v>
          </cell>
          <cell r="J112">
            <v>20</v>
          </cell>
          <cell r="K112" t="str">
            <v>Analogue</v>
          </cell>
        </row>
        <row r="113">
          <cell r="H113" t="str">
            <v>Iasi Sud110</v>
          </cell>
          <cell r="I113" t="str">
            <v>Iasi Sud</v>
          </cell>
          <cell r="J113">
            <v>110</v>
          </cell>
          <cell r="K113" t="str">
            <v>Analogue</v>
          </cell>
        </row>
        <row r="114">
          <cell r="H114" t="str">
            <v>Itcani20</v>
          </cell>
          <cell r="I114" t="str">
            <v>Itcani</v>
          </cell>
          <cell r="J114">
            <v>20</v>
          </cell>
          <cell r="K114" t="str">
            <v>Analogue</v>
          </cell>
        </row>
        <row r="115">
          <cell r="H115" t="str">
            <v>Itcani110</v>
          </cell>
          <cell r="I115" t="str">
            <v>Itcani</v>
          </cell>
          <cell r="J115">
            <v>110</v>
          </cell>
          <cell r="K115" t="str">
            <v>Analogue</v>
          </cell>
        </row>
        <row r="116">
          <cell r="H116" t="str">
            <v>Izvoare20</v>
          </cell>
          <cell r="I116" t="str">
            <v>Izvoare</v>
          </cell>
          <cell r="J116">
            <v>20</v>
          </cell>
          <cell r="K116" t="str">
            <v>Analogue</v>
          </cell>
        </row>
        <row r="117">
          <cell r="H117" t="str">
            <v>Izvoare110</v>
          </cell>
          <cell r="I117" t="str">
            <v>Izvoare</v>
          </cell>
          <cell r="J117">
            <v>110</v>
          </cell>
          <cell r="K117" t="str">
            <v>Hibrid</v>
          </cell>
        </row>
        <row r="118">
          <cell r="H118" t="str">
            <v>Letea6</v>
          </cell>
          <cell r="I118" t="str">
            <v>Letea</v>
          </cell>
          <cell r="J118">
            <v>6</v>
          </cell>
          <cell r="K118" t="str">
            <v>Analogue</v>
          </cell>
        </row>
        <row r="119">
          <cell r="H119" t="str">
            <v>Letea20</v>
          </cell>
          <cell r="I119" t="str">
            <v>Letea</v>
          </cell>
          <cell r="J119">
            <v>20</v>
          </cell>
          <cell r="K119" t="str">
            <v>Analogue</v>
          </cell>
        </row>
        <row r="120">
          <cell r="H120" t="str">
            <v>Letea110</v>
          </cell>
          <cell r="I120" t="str">
            <v>Letea</v>
          </cell>
          <cell r="J120">
            <v>110</v>
          </cell>
          <cell r="K120" t="str">
            <v>Analogue</v>
          </cell>
        </row>
        <row r="121">
          <cell r="H121" t="str">
            <v>Margineni6</v>
          </cell>
          <cell r="I121" t="str">
            <v>Margineni</v>
          </cell>
          <cell r="J121">
            <v>6</v>
          </cell>
          <cell r="K121" t="str">
            <v>Analogue</v>
          </cell>
        </row>
        <row r="122">
          <cell r="H122" t="str">
            <v>Margineni110</v>
          </cell>
          <cell r="I122" t="str">
            <v>Margineni</v>
          </cell>
          <cell r="J122">
            <v>110</v>
          </cell>
          <cell r="K122" t="str">
            <v>Analogue</v>
          </cell>
        </row>
        <row r="123">
          <cell r="H123" t="str">
            <v>Milcov20</v>
          </cell>
          <cell r="I123" t="str">
            <v>Milcov</v>
          </cell>
          <cell r="J123">
            <v>20</v>
          </cell>
          <cell r="K123" t="str">
            <v>Analogue</v>
          </cell>
        </row>
        <row r="124">
          <cell r="H124" t="str">
            <v>Milcov110</v>
          </cell>
          <cell r="I124" t="str">
            <v>Milcov</v>
          </cell>
          <cell r="J124">
            <v>110</v>
          </cell>
          <cell r="K124" t="str">
            <v>Analogue</v>
          </cell>
        </row>
        <row r="125">
          <cell r="H125" t="str">
            <v>Mirauti20</v>
          </cell>
          <cell r="I125" t="str">
            <v>Mirauti</v>
          </cell>
          <cell r="J125">
            <v>20</v>
          </cell>
          <cell r="K125" t="str">
            <v>Analogue</v>
          </cell>
        </row>
        <row r="126">
          <cell r="H126" t="str">
            <v>Mirauti110</v>
          </cell>
          <cell r="I126" t="str">
            <v>Mirauti</v>
          </cell>
          <cell r="J126">
            <v>110</v>
          </cell>
          <cell r="K126" t="str">
            <v>Analogue</v>
          </cell>
        </row>
        <row r="127">
          <cell r="H127" t="str">
            <v>Mitoc20</v>
          </cell>
          <cell r="I127" t="str">
            <v>Mitoc</v>
          </cell>
          <cell r="J127">
            <v>20</v>
          </cell>
          <cell r="K127" t="str">
            <v>Analogue</v>
          </cell>
        </row>
        <row r="128">
          <cell r="H128" t="str">
            <v>Mitoc110</v>
          </cell>
          <cell r="I128" t="str">
            <v>Mitoc</v>
          </cell>
          <cell r="J128">
            <v>110</v>
          </cell>
          <cell r="K128" t="str">
            <v>Analogue</v>
          </cell>
        </row>
        <row r="129">
          <cell r="H129" t="str">
            <v>Moinesti6</v>
          </cell>
          <cell r="I129" t="str">
            <v>Moinesti</v>
          </cell>
          <cell r="J129">
            <v>6</v>
          </cell>
          <cell r="K129" t="str">
            <v>Analogue</v>
          </cell>
        </row>
        <row r="130">
          <cell r="H130" t="str">
            <v>Moinesti20</v>
          </cell>
          <cell r="I130" t="str">
            <v>Moinesti</v>
          </cell>
          <cell r="J130">
            <v>20</v>
          </cell>
          <cell r="K130" t="str">
            <v>Analogue</v>
          </cell>
        </row>
        <row r="131">
          <cell r="H131" t="str">
            <v>Moinesti110</v>
          </cell>
          <cell r="I131" t="str">
            <v>Moinesti</v>
          </cell>
          <cell r="J131">
            <v>110</v>
          </cell>
          <cell r="K131" t="str">
            <v>Analogue</v>
          </cell>
        </row>
        <row r="132">
          <cell r="H132" t="str">
            <v>Moldosin110</v>
          </cell>
          <cell r="I132" t="str">
            <v>Moldosin</v>
          </cell>
          <cell r="J132">
            <v>110</v>
          </cell>
          <cell r="K132" t="str">
            <v>Analogue</v>
          </cell>
        </row>
        <row r="133">
          <cell r="H133" t="str">
            <v>Murgeni20</v>
          </cell>
          <cell r="I133" t="str">
            <v>Murgeni</v>
          </cell>
          <cell r="J133">
            <v>20</v>
          </cell>
          <cell r="K133" t="str">
            <v>Analogue</v>
          </cell>
        </row>
        <row r="134">
          <cell r="H134" t="str">
            <v>Murgeni110</v>
          </cell>
          <cell r="I134" t="str">
            <v>Murgeni</v>
          </cell>
          <cell r="J134">
            <v>110</v>
          </cell>
          <cell r="K134" t="str">
            <v>Analogue</v>
          </cell>
        </row>
        <row r="135">
          <cell r="H135" t="str">
            <v>Negresti20</v>
          </cell>
          <cell r="I135" t="str">
            <v>Negresti</v>
          </cell>
          <cell r="J135">
            <v>20</v>
          </cell>
          <cell r="K135" t="str">
            <v>Analogue</v>
          </cell>
        </row>
        <row r="136">
          <cell r="H136" t="str">
            <v>Negresti110</v>
          </cell>
          <cell r="I136" t="str">
            <v>Negresti</v>
          </cell>
          <cell r="J136">
            <v>110</v>
          </cell>
          <cell r="K136" t="str">
            <v>Analogue</v>
          </cell>
        </row>
        <row r="137">
          <cell r="H137" t="str">
            <v>Onesti 1106</v>
          </cell>
          <cell r="I137" t="str">
            <v>Onesti 110</v>
          </cell>
          <cell r="J137">
            <v>6</v>
          </cell>
          <cell r="K137" t="str">
            <v>Analogue</v>
          </cell>
        </row>
        <row r="138">
          <cell r="H138" t="str">
            <v>Onesti 11020</v>
          </cell>
          <cell r="I138" t="str">
            <v>Onesti 110</v>
          </cell>
          <cell r="J138">
            <v>20</v>
          </cell>
          <cell r="K138" t="str">
            <v>Analogue</v>
          </cell>
        </row>
        <row r="139">
          <cell r="H139" t="str">
            <v>Onesti 110110</v>
          </cell>
          <cell r="I139" t="str">
            <v>Onesti 110</v>
          </cell>
          <cell r="J139">
            <v>110</v>
          </cell>
          <cell r="K139" t="str">
            <v>Analogue</v>
          </cell>
        </row>
        <row r="140">
          <cell r="H140" t="str">
            <v>Onesti 356</v>
          </cell>
          <cell r="I140" t="str">
            <v>Onesti 35</v>
          </cell>
          <cell r="J140">
            <v>6</v>
          </cell>
          <cell r="K140" t="str">
            <v>Analogue</v>
          </cell>
        </row>
        <row r="141">
          <cell r="H141" t="str">
            <v>Onesti 3520</v>
          </cell>
          <cell r="I141" t="str">
            <v>Onesti 35</v>
          </cell>
          <cell r="J141">
            <v>20</v>
          </cell>
          <cell r="K141" t="str">
            <v>Analogue</v>
          </cell>
        </row>
        <row r="142">
          <cell r="H142" t="str">
            <v>Onesti 3535</v>
          </cell>
          <cell r="I142" t="str">
            <v>Onesti 35</v>
          </cell>
          <cell r="J142">
            <v>35</v>
          </cell>
          <cell r="K142" t="str">
            <v>Analogue</v>
          </cell>
        </row>
        <row r="143">
          <cell r="H143" t="str">
            <v>Onesti Centru20</v>
          </cell>
          <cell r="I143" t="str">
            <v>Onesti Centru</v>
          </cell>
          <cell r="J143">
            <v>20</v>
          </cell>
          <cell r="K143" t="str">
            <v>Modern</v>
          </cell>
        </row>
        <row r="144">
          <cell r="H144" t="str">
            <v>P. Teiului20</v>
          </cell>
          <cell r="I144" t="str">
            <v>P. Teiului</v>
          </cell>
          <cell r="J144">
            <v>20</v>
          </cell>
          <cell r="K144" t="str">
            <v>Analogue</v>
          </cell>
        </row>
        <row r="145">
          <cell r="H145" t="str">
            <v>P. Teiului110</v>
          </cell>
          <cell r="I145" t="str">
            <v>P. Teiului</v>
          </cell>
          <cell r="J145">
            <v>110</v>
          </cell>
          <cell r="K145" t="str">
            <v>Analogue</v>
          </cell>
        </row>
        <row r="146">
          <cell r="H146" t="str">
            <v>P.Nt.Centru10</v>
          </cell>
          <cell r="I146" t="str">
            <v>P.Nt.Centru</v>
          </cell>
          <cell r="J146">
            <v>10</v>
          </cell>
          <cell r="K146" t="str">
            <v>Analogue</v>
          </cell>
        </row>
        <row r="147">
          <cell r="H147" t="str">
            <v>P.Nt.Centru20</v>
          </cell>
          <cell r="I147" t="str">
            <v>P.Nt.Centru</v>
          </cell>
          <cell r="J147">
            <v>20</v>
          </cell>
          <cell r="K147" t="str">
            <v>Analogue</v>
          </cell>
        </row>
        <row r="148">
          <cell r="H148" t="str">
            <v>P.Nt.Centru110</v>
          </cell>
          <cell r="I148" t="str">
            <v>P.Nt.Centru</v>
          </cell>
          <cell r="J148">
            <v>110</v>
          </cell>
          <cell r="K148" t="str">
            <v>Analogue</v>
          </cell>
        </row>
        <row r="149">
          <cell r="H149" t="str">
            <v>P.Nt.Gara20</v>
          </cell>
          <cell r="I149" t="str">
            <v>P.Nt.Gara</v>
          </cell>
          <cell r="J149">
            <v>20</v>
          </cell>
          <cell r="K149" t="str">
            <v>Analogue</v>
          </cell>
        </row>
        <row r="150">
          <cell r="H150" t="str">
            <v>P.Nt.Gara110</v>
          </cell>
          <cell r="I150" t="str">
            <v>P.Nt.Gara</v>
          </cell>
          <cell r="J150">
            <v>110</v>
          </cell>
          <cell r="K150" t="str">
            <v>Analogue</v>
          </cell>
        </row>
        <row r="151">
          <cell r="H151" t="str">
            <v>PAL20</v>
          </cell>
          <cell r="I151" t="str">
            <v>PAL</v>
          </cell>
          <cell r="J151">
            <v>20</v>
          </cell>
          <cell r="K151" t="str">
            <v>Analogue</v>
          </cell>
        </row>
        <row r="152">
          <cell r="H152" t="str">
            <v>PAL110</v>
          </cell>
          <cell r="I152" t="str">
            <v>PAL</v>
          </cell>
          <cell r="J152">
            <v>110</v>
          </cell>
          <cell r="K152" t="str">
            <v>Analogue</v>
          </cell>
        </row>
        <row r="153">
          <cell r="H153" t="str">
            <v>Partizanu10</v>
          </cell>
          <cell r="I153" t="str">
            <v>Partizanu</v>
          </cell>
          <cell r="J153">
            <v>10</v>
          </cell>
          <cell r="K153" t="str">
            <v>Analogue</v>
          </cell>
        </row>
        <row r="154">
          <cell r="H154" t="str">
            <v>Partizanu20</v>
          </cell>
          <cell r="I154" t="str">
            <v>Partizanu</v>
          </cell>
          <cell r="J154">
            <v>20</v>
          </cell>
          <cell r="K154" t="str">
            <v>Analogue</v>
          </cell>
        </row>
        <row r="155">
          <cell r="H155" t="str">
            <v>Partizanu110</v>
          </cell>
          <cell r="I155" t="str">
            <v>Partizanu</v>
          </cell>
          <cell r="J155">
            <v>110</v>
          </cell>
          <cell r="K155" t="str">
            <v>Analogue</v>
          </cell>
        </row>
        <row r="156">
          <cell r="H156" t="str">
            <v>Pascani20</v>
          </cell>
          <cell r="I156" t="str">
            <v>Pascani</v>
          </cell>
          <cell r="J156">
            <v>20</v>
          </cell>
          <cell r="K156" t="str">
            <v>Analogue</v>
          </cell>
        </row>
        <row r="157">
          <cell r="H157" t="str">
            <v>Pascani110</v>
          </cell>
          <cell r="I157" t="str">
            <v>Pascani</v>
          </cell>
          <cell r="J157">
            <v>110</v>
          </cell>
          <cell r="K157" t="str">
            <v>Analogue</v>
          </cell>
        </row>
        <row r="158">
          <cell r="H158" t="str">
            <v>Podu Iloaiei20</v>
          </cell>
          <cell r="I158" t="str">
            <v>Podu Iloaiei</v>
          </cell>
          <cell r="J158">
            <v>20</v>
          </cell>
          <cell r="K158" t="str">
            <v>Analogue</v>
          </cell>
        </row>
        <row r="159">
          <cell r="H159" t="str">
            <v>Podu Iloaiei110</v>
          </cell>
          <cell r="I159" t="str">
            <v>Podu Iloaiei</v>
          </cell>
          <cell r="J159">
            <v>110</v>
          </cell>
          <cell r="K159" t="str">
            <v>Analogue</v>
          </cell>
        </row>
        <row r="160">
          <cell r="H160" t="str">
            <v>Racaciuni110</v>
          </cell>
          <cell r="I160" t="str">
            <v>Racaciuni</v>
          </cell>
          <cell r="J160">
            <v>110</v>
          </cell>
          <cell r="K160" t="str">
            <v>Analogue</v>
          </cell>
        </row>
        <row r="161">
          <cell r="H161" t="str">
            <v>Radauti20</v>
          </cell>
          <cell r="I161" t="str">
            <v>Radauti</v>
          </cell>
          <cell r="J161">
            <v>20</v>
          </cell>
          <cell r="K161" t="str">
            <v>Analogue</v>
          </cell>
        </row>
        <row r="162">
          <cell r="H162" t="str">
            <v>Radauti110</v>
          </cell>
          <cell r="I162" t="str">
            <v>Radauti</v>
          </cell>
          <cell r="J162">
            <v>110</v>
          </cell>
          <cell r="K162" t="str">
            <v>Analogue</v>
          </cell>
        </row>
        <row r="163">
          <cell r="H163" t="str">
            <v>Radiatoare110</v>
          </cell>
          <cell r="I163" t="str">
            <v>Radiatoare</v>
          </cell>
          <cell r="J163">
            <v>110</v>
          </cell>
          <cell r="K163" t="str">
            <v>Analogue</v>
          </cell>
        </row>
        <row r="164">
          <cell r="H164" t="str">
            <v>Raducaneni20</v>
          </cell>
          <cell r="I164" t="str">
            <v>Raducaneni</v>
          </cell>
          <cell r="J164">
            <v>20</v>
          </cell>
          <cell r="K164" t="str">
            <v>Analogue</v>
          </cell>
        </row>
        <row r="165">
          <cell r="H165" t="str">
            <v>Raducaneni110</v>
          </cell>
          <cell r="I165" t="str">
            <v>Raducaneni</v>
          </cell>
          <cell r="J165">
            <v>110</v>
          </cell>
          <cell r="K165" t="str">
            <v>Analogue</v>
          </cell>
        </row>
        <row r="166">
          <cell r="H166" t="str">
            <v>Rediu20</v>
          </cell>
          <cell r="I166" t="str">
            <v>Rediu</v>
          </cell>
          <cell r="J166">
            <v>20</v>
          </cell>
          <cell r="K166" t="str">
            <v>Analogue</v>
          </cell>
        </row>
        <row r="167">
          <cell r="H167" t="str">
            <v>Rediu110</v>
          </cell>
          <cell r="I167" t="str">
            <v>Rediu</v>
          </cell>
          <cell r="J167">
            <v>110</v>
          </cell>
          <cell r="K167" t="str">
            <v>Analogue</v>
          </cell>
        </row>
        <row r="168">
          <cell r="H168" t="str">
            <v>Regie20</v>
          </cell>
          <cell r="I168" t="str">
            <v>Regie</v>
          </cell>
          <cell r="J168">
            <v>20</v>
          </cell>
          <cell r="K168" t="str">
            <v>Analogue</v>
          </cell>
        </row>
        <row r="169">
          <cell r="H169" t="str">
            <v>Regie110</v>
          </cell>
          <cell r="I169" t="str">
            <v>Regie</v>
          </cell>
          <cell r="J169">
            <v>110</v>
          </cell>
          <cell r="K169" t="str">
            <v>Analogue</v>
          </cell>
        </row>
        <row r="170">
          <cell r="H170" t="str">
            <v>Ripiceni20</v>
          </cell>
          <cell r="I170" t="str">
            <v>Ripiceni</v>
          </cell>
          <cell r="J170">
            <v>20</v>
          </cell>
          <cell r="K170" t="str">
            <v>Analogue</v>
          </cell>
        </row>
        <row r="171">
          <cell r="H171" t="str">
            <v>Ripiceni110</v>
          </cell>
          <cell r="I171" t="str">
            <v>Ripiceni</v>
          </cell>
          <cell r="J171">
            <v>110</v>
          </cell>
          <cell r="K171" t="str">
            <v>Analogue</v>
          </cell>
        </row>
        <row r="172">
          <cell r="H172" t="str">
            <v>Roman IMR6</v>
          </cell>
          <cell r="I172" t="str">
            <v>Roman IMR</v>
          </cell>
          <cell r="J172">
            <v>6</v>
          </cell>
          <cell r="K172" t="str">
            <v>Analogue</v>
          </cell>
        </row>
        <row r="173">
          <cell r="H173" t="str">
            <v>Roman IMR110</v>
          </cell>
          <cell r="I173" t="str">
            <v>Roman IMR</v>
          </cell>
          <cell r="J173">
            <v>110</v>
          </cell>
          <cell r="K173" t="str">
            <v>Analogue</v>
          </cell>
        </row>
        <row r="174">
          <cell r="H174" t="str">
            <v>Roman Laminor20</v>
          </cell>
          <cell r="I174" t="str">
            <v>Roman Laminor</v>
          </cell>
          <cell r="J174">
            <v>20</v>
          </cell>
          <cell r="K174" t="str">
            <v>Analogue</v>
          </cell>
        </row>
        <row r="175">
          <cell r="H175" t="str">
            <v>Roman Laminor110</v>
          </cell>
          <cell r="I175" t="str">
            <v>Roman Laminor</v>
          </cell>
          <cell r="J175">
            <v>110</v>
          </cell>
          <cell r="K175" t="str">
            <v>Analogue</v>
          </cell>
        </row>
        <row r="176">
          <cell r="H176" t="str">
            <v>Roman Oras6</v>
          </cell>
          <cell r="I176" t="str">
            <v>Roman Oras</v>
          </cell>
          <cell r="J176">
            <v>6</v>
          </cell>
          <cell r="K176" t="str">
            <v>Analogue</v>
          </cell>
        </row>
        <row r="177">
          <cell r="H177" t="str">
            <v>Roman Oras20</v>
          </cell>
          <cell r="I177" t="str">
            <v>Roman Oras</v>
          </cell>
          <cell r="J177">
            <v>20</v>
          </cell>
          <cell r="K177" t="str">
            <v>Analogue</v>
          </cell>
        </row>
        <row r="178">
          <cell r="H178" t="str">
            <v>Roman Oras110</v>
          </cell>
          <cell r="I178" t="str">
            <v>Roman Oras</v>
          </cell>
          <cell r="J178">
            <v>110</v>
          </cell>
          <cell r="K178" t="str">
            <v>Analogue</v>
          </cell>
        </row>
        <row r="179">
          <cell r="H179" t="str">
            <v>Roman Sud20</v>
          </cell>
          <cell r="I179" t="str">
            <v>Roman Sud</v>
          </cell>
          <cell r="J179">
            <v>20</v>
          </cell>
          <cell r="K179" t="str">
            <v>Analogue</v>
          </cell>
        </row>
        <row r="180">
          <cell r="H180" t="str">
            <v>Roman Sud110</v>
          </cell>
          <cell r="I180" t="str">
            <v>Roman Sud</v>
          </cell>
          <cell r="J180">
            <v>110</v>
          </cell>
          <cell r="K180" t="str">
            <v>Analogue</v>
          </cell>
        </row>
        <row r="181">
          <cell r="H181" t="str">
            <v>Roman Vest20</v>
          </cell>
          <cell r="I181" t="str">
            <v>Roman Vest</v>
          </cell>
          <cell r="J181">
            <v>20</v>
          </cell>
          <cell r="K181" t="str">
            <v>Analogue</v>
          </cell>
        </row>
        <row r="182">
          <cell r="H182" t="str">
            <v>Roman Vest110</v>
          </cell>
          <cell r="I182" t="str">
            <v>Roman Vest</v>
          </cell>
          <cell r="J182">
            <v>110</v>
          </cell>
          <cell r="K182" t="str">
            <v>Analogue</v>
          </cell>
        </row>
        <row r="183">
          <cell r="H183" t="str">
            <v>Rosiesti20</v>
          </cell>
          <cell r="I183" t="str">
            <v>Rosiesti</v>
          </cell>
          <cell r="J183">
            <v>20</v>
          </cell>
          <cell r="K183" t="str">
            <v>Analogue</v>
          </cell>
        </row>
        <row r="184">
          <cell r="H184" t="str">
            <v>Rosiesti110</v>
          </cell>
          <cell r="I184" t="str">
            <v>Rosiesti</v>
          </cell>
          <cell r="J184">
            <v>110</v>
          </cell>
          <cell r="K184" t="str">
            <v>Analogue</v>
          </cell>
        </row>
        <row r="185">
          <cell r="H185" t="str">
            <v>Roznov20</v>
          </cell>
          <cell r="I185" t="str">
            <v>Roznov</v>
          </cell>
          <cell r="J185">
            <v>20</v>
          </cell>
          <cell r="K185" t="str">
            <v>Analogue</v>
          </cell>
        </row>
        <row r="186">
          <cell r="H186" t="str">
            <v>Roznov110</v>
          </cell>
          <cell r="I186" t="str">
            <v>Roznov</v>
          </cell>
          <cell r="J186">
            <v>110</v>
          </cell>
          <cell r="K186" t="str">
            <v>Analogue</v>
          </cell>
        </row>
        <row r="187">
          <cell r="H187" t="str">
            <v>Rulmentul20</v>
          </cell>
          <cell r="I187" t="str">
            <v>Rulmentul</v>
          </cell>
          <cell r="J187">
            <v>20</v>
          </cell>
          <cell r="K187" t="str">
            <v>Analogue</v>
          </cell>
        </row>
        <row r="188">
          <cell r="H188" t="str">
            <v>Rulmentul110</v>
          </cell>
          <cell r="I188" t="str">
            <v>Rulmentul</v>
          </cell>
          <cell r="J188">
            <v>110</v>
          </cell>
          <cell r="K188" t="str">
            <v>Analogue</v>
          </cell>
        </row>
        <row r="189">
          <cell r="H189" t="str">
            <v>Sarata6</v>
          </cell>
          <cell r="I189" t="str">
            <v>Sarata</v>
          </cell>
          <cell r="J189">
            <v>6</v>
          </cell>
          <cell r="K189" t="str">
            <v>Analogue</v>
          </cell>
        </row>
        <row r="190">
          <cell r="H190" t="str">
            <v>Sarata20</v>
          </cell>
          <cell r="I190" t="str">
            <v>Sarata</v>
          </cell>
          <cell r="J190">
            <v>20</v>
          </cell>
          <cell r="K190" t="str">
            <v>Analogue</v>
          </cell>
        </row>
        <row r="191">
          <cell r="H191" t="str">
            <v>Sarata110</v>
          </cell>
          <cell r="I191" t="str">
            <v>Sarata</v>
          </cell>
          <cell r="J191">
            <v>110</v>
          </cell>
          <cell r="K191" t="str">
            <v>Analogue</v>
          </cell>
        </row>
        <row r="192">
          <cell r="H192" t="str">
            <v>Saveni20</v>
          </cell>
          <cell r="I192" t="str">
            <v>Saveni</v>
          </cell>
          <cell r="J192">
            <v>20</v>
          </cell>
          <cell r="K192" t="str">
            <v>Analogue</v>
          </cell>
        </row>
        <row r="193">
          <cell r="H193" t="str">
            <v>Saveni110</v>
          </cell>
          <cell r="I193" t="str">
            <v>Saveni</v>
          </cell>
          <cell r="J193">
            <v>110</v>
          </cell>
          <cell r="K193" t="str">
            <v>Analogue</v>
          </cell>
        </row>
        <row r="194">
          <cell r="H194" t="str">
            <v>Savinesti110</v>
          </cell>
          <cell r="I194" t="str">
            <v>Savinesti</v>
          </cell>
          <cell r="J194">
            <v>110</v>
          </cell>
          <cell r="K194" t="str">
            <v>Analogue</v>
          </cell>
        </row>
        <row r="195">
          <cell r="H195" t="str">
            <v>Sculeni20</v>
          </cell>
          <cell r="I195" t="str">
            <v>Sculeni</v>
          </cell>
          <cell r="J195">
            <v>20</v>
          </cell>
          <cell r="K195" t="str">
            <v>Analogue</v>
          </cell>
        </row>
        <row r="196">
          <cell r="H196" t="str">
            <v>Sculeni110</v>
          </cell>
          <cell r="I196" t="str">
            <v>Sculeni</v>
          </cell>
          <cell r="J196">
            <v>110</v>
          </cell>
          <cell r="K196" t="str">
            <v>Analogue</v>
          </cell>
        </row>
        <row r="197">
          <cell r="H197" t="str">
            <v>Simila6</v>
          </cell>
          <cell r="I197" t="str">
            <v>Simila</v>
          </cell>
          <cell r="J197">
            <v>6</v>
          </cell>
          <cell r="K197" t="str">
            <v>Analogue</v>
          </cell>
        </row>
        <row r="198">
          <cell r="H198" t="str">
            <v>Simila110</v>
          </cell>
          <cell r="I198" t="str">
            <v>Simila</v>
          </cell>
          <cell r="J198">
            <v>110</v>
          </cell>
          <cell r="K198" t="str">
            <v>Analogue</v>
          </cell>
        </row>
        <row r="199">
          <cell r="H199" t="str">
            <v>Siret20</v>
          </cell>
          <cell r="I199" t="str">
            <v>Siret</v>
          </cell>
          <cell r="J199">
            <v>20</v>
          </cell>
          <cell r="K199" t="str">
            <v>Analogue</v>
          </cell>
        </row>
        <row r="200">
          <cell r="H200" t="str">
            <v>Siret110</v>
          </cell>
          <cell r="I200" t="str">
            <v>Siret</v>
          </cell>
          <cell r="J200">
            <v>110</v>
          </cell>
          <cell r="K200" t="str">
            <v>Analogue</v>
          </cell>
        </row>
        <row r="201">
          <cell r="H201" t="str">
            <v>Siscani20</v>
          </cell>
          <cell r="I201" t="str">
            <v>Siscani</v>
          </cell>
          <cell r="J201">
            <v>20</v>
          </cell>
          <cell r="K201" t="str">
            <v>Analogue</v>
          </cell>
        </row>
        <row r="202">
          <cell r="H202" t="str">
            <v>Siscani110</v>
          </cell>
          <cell r="I202" t="str">
            <v>Siscani</v>
          </cell>
          <cell r="J202">
            <v>110</v>
          </cell>
          <cell r="K202" t="str">
            <v>Analogue</v>
          </cell>
        </row>
        <row r="203">
          <cell r="H203" t="str">
            <v>Solc20</v>
          </cell>
          <cell r="I203" t="str">
            <v>Solc</v>
          </cell>
          <cell r="J203">
            <v>20</v>
          </cell>
          <cell r="K203" t="str">
            <v>Analogue</v>
          </cell>
        </row>
        <row r="204">
          <cell r="H204" t="str">
            <v>Solc110</v>
          </cell>
          <cell r="I204" t="str">
            <v>Solc</v>
          </cell>
          <cell r="J204">
            <v>110</v>
          </cell>
          <cell r="K204" t="str">
            <v>Analogue</v>
          </cell>
        </row>
        <row r="205">
          <cell r="H205" t="str">
            <v>SRA CTU110</v>
          </cell>
          <cell r="I205" t="str">
            <v>SRA CTU</v>
          </cell>
          <cell r="J205">
            <v>110</v>
          </cell>
          <cell r="K205" t="str">
            <v>Analogue</v>
          </cell>
        </row>
        <row r="206">
          <cell r="H206" t="str">
            <v>SRA Laminor110</v>
          </cell>
          <cell r="I206" t="str">
            <v>SRA Laminor</v>
          </cell>
          <cell r="J206">
            <v>110</v>
          </cell>
          <cell r="K206" t="str">
            <v>Analogue</v>
          </cell>
        </row>
        <row r="207">
          <cell r="H207" t="str">
            <v>SRA1-Terom110</v>
          </cell>
          <cell r="I207" t="str">
            <v>SRA1-Terom</v>
          </cell>
          <cell r="J207">
            <v>110</v>
          </cell>
          <cell r="K207" t="str">
            <v>Analogue</v>
          </cell>
        </row>
        <row r="208">
          <cell r="H208" t="str">
            <v>Stanilesti20</v>
          </cell>
          <cell r="I208" t="str">
            <v>Stanilesti</v>
          </cell>
          <cell r="J208">
            <v>20</v>
          </cell>
          <cell r="K208" t="str">
            <v>Analogue</v>
          </cell>
        </row>
        <row r="209">
          <cell r="H209" t="str">
            <v>Stanilesti110</v>
          </cell>
          <cell r="I209" t="str">
            <v>Stanilesti</v>
          </cell>
          <cell r="J209">
            <v>110</v>
          </cell>
          <cell r="K209" t="str">
            <v>Analogue</v>
          </cell>
        </row>
        <row r="210">
          <cell r="H210" t="str">
            <v>Statia 110/20 Comarna20</v>
          </cell>
          <cell r="I210" t="str">
            <v>Statia 110/20 Comarna</v>
          </cell>
          <cell r="J210">
            <v>20</v>
          </cell>
          <cell r="K210" t="str">
            <v>Analogue</v>
          </cell>
        </row>
        <row r="211">
          <cell r="H211" t="str">
            <v>Statia 110/20 Comarna110</v>
          </cell>
          <cell r="I211" t="str">
            <v>Statia 110/20 Comarna</v>
          </cell>
          <cell r="J211">
            <v>110</v>
          </cell>
          <cell r="K211" t="str">
            <v>Analogue</v>
          </cell>
        </row>
        <row r="212">
          <cell r="H212" t="str">
            <v>Statia 110/20 Gorban20</v>
          </cell>
          <cell r="I212" t="str">
            <v>Statia 110/20 Gorban</v>
          </cell>
          <cell r="J212">
            <v>20</v>
          </cell>
          <cell r="K212" t="str">
            <v>Analogue</v>
          </cell>
        </row>
        <row r="213">
          <cell r="H213" t="str">
            <v>Statia 110/20 Gorban110</v>
          </cell>
          <cell r="I213" t="str">
            <v>Statia 110/20 Gorban</v>
          </cell>
          <cell r="J213">
            <v>110</v>
          </cell>
          <cell r="K213" t="str">
            <v>Analogue</v>
          </cell>
        </row>
        <row r="214">
          <cell r="H214" t="str">
            <v>Statia 110/20 Harlau20</v>
          </cell>
          <cell r="I214" t="str">
            <v>Statia 110/20 Harlau</v>
          </cell>
          <cell r="J214">
            <v>20</v>
          </cell>
          <cell r="K214" t="str">
            <v>Analogue</v>
          </cell>
        </row>
        <row r="215">
          <cell r="H215" t="str">
            <v>Statia 110/20 Harlau110</v>
          </cell>
          <cell r="I215" t="str">
            <v>Statia 110/20 Harlau</v>
          </cell>
          <cell r="J215">
            <v>110</v>
          </cell>
          <cell r="K215" t="str">
            <v>Analogue</v>
          </cell>
        </row>
        <row r="216">
          <cell r="H216" t="str">
            <v>Statia 110/20/6 Manta Rosie6</v>
          </cell>
          <cell r="I216" t="str">
            <v>Statia 110/20/6 Manta Rosie</v>
          </cell>
          <cell r="J216">
            <v>6</v>
          </cell>
          <cell r="K216" t="str">
            <v>Analogue</v>
          </cell>
        </row>
        <row r="217">
          <cell r="H217" t="str">
            <v>Statia 110/20/6 Manta Rosie20</v>
          </cell>
          <cell r="I217" t="str">
            <v>Statia 110/20/6 Manta Rosie</v>
          </cell>
          <cell r="J217">
            <v>20</v>
          </cell>
          <cell r="K217" t="str">
            <v>Analogue</v>
          </cell>
        </row>
        <row r="218">
          <cell r="H218" t="str">
            <v>Statia 110/20/6 Manta Rosie110</v>
          </cell>
          <cell r="I218" t="str">
            <v>Statia 110/20/6 Manta Rosie</v>
          </cell>
          <cell r="J218">
            <v>110</v>
          </cell>
          <cell r="K218" t="str">
            <v>Analogue</v>
          </cell>
        </row>
        <row r="219">
          <cell r="H219" t="str">
            <v>Tabara20</v>
          </cell>
          <cell r="I219" t="str">
            <v>Tabara</v>
          </cell>
          <cell r="J219">
            <v>20</v>
          </cell>
          <cell r="K219" t="str">
            <v>Analogue</v>
          </cell>
        </row>
        <row r="220">
          <cell r="H220" t="str">
            <v>Tarita20</v>
          </cell>
          <cell r="I220" t="str">
            <v>Tarita</v>
          </cell>
          <cell r="J220">
            <v>20</v>
          </cell>
          <cell r="K220" t="str">
            <v>Analogue</v>
          </cell>
        </row>
        <row r="221">
          <cell r="H221" t="str">
            <v>Tarita110</v>
          </cell>
          <cell r="I221" t="str">
            <v>Tarita</v>
          </cell>
          <cell r="J221">
            <v>110</v>
          </cell>
          <cell r="K221" t="str">
            <v>Analogue</v>
          </cell>
        </row>
        <row r="222">
          <cell r="H222" t="str">
            <v>Tarnita110</v>
          </cell>
          <cell r="I222" t="str">
            <v>Tarnita</v>
          </cell>
          <cell r="J222">
            <v>110</v>
          </cell>
          <cell r="K222" t="str">
            <v>Analogue</v>
          </cell>
        </row>
        <row r="223">
          <cell r="H223" t="str">
            <v>Tasca110</v>
          </cell>
          <cell r="I223" t="str">
            <v>Tasca</v>
          </cell>
          <cell r="J223">
            <v>110</v>
          </cell>
          <cell r="K223" t="str">
            <v>Analogue</v>
          </cell>
        </row>
        <row r="224">
          <cell r="H224" t="str">
            <v>Tatarasi20</v>
          </cell>
          <cell r="I224" t="str">
            <v>Tatarasi</v>
          </cell>
          <cell r="J224">
            <v>20</v>
          </cell>
          <cell r="K224" t="str">
            <v>Analogue</v>
          </cell>
        </row>
        <row r="225">
          <cell r="H225" t="str">
            <v>Tatarasi110</v>
          </cell>
          <cell r="I225" t="str">
            <v>Tatarasi</v>
          </cell>
          <cell r="J225">
            <v>110</v>
          </cell>
          <cell r="K225" t="str">
            <v>Analogue</v>
          </cell>
        </row>
        <row r="226">
          <cell r="H226" t="str">
            <v>Tehnoton6</v>
          </cell>
          <cell r="I226" t="str">
            <v>Tehnoton</v>
          </cell>
          <cell r="J226">
            <v>6</v>
          </cell>
          <cell r="K226" t="str">
            <v>Analogue</v>
          </cell>
        </row>
        <row r="227">
          <cell r="H227" t="str">
            <v>Tehnoton110</v>
          </cell>
          <cell r="I227" t="str">
            <v>Tehnoton</v>
          </cell>
          <cell r="J227">
            <v>110</v>
          </cell>
          <cell r="K227" t="str">
            <v>Analogue</v>
          </cell>
        </row>
        <row r="228">
          <cell r="H228" t="str">
            <v>Tg. Frumos20</v>
          </cell>
          <cell r="I228" t="str">
            <v>Tg. Frumos</v>
          </cell>
          <cell r="J228">
            <v>20</v>
          </cell>
          <cell r="K228" t="str">
            <v>Analogue</v>
          </cell>
        </row>
        <row r="229">
          <cell r="H229" t="str">
            <v>Tg. Frumos110</v>
          </cell>
          <cell r="I229" t="str">
            <v>Tg. Frumos</v>
          </cell>
          <cell r="J229">
            <v>110</v>
          </cell>
          <cell r="K229" t="str">
            <v>Analogue</v>
          </cell>
        </row>
        <row r="230">
          <cell r="H230" t="str">
            <v>Tg. Neamt20</v>
          </cell>
          <cell r="I230" t="str">
            <v>Tg. Neamt</v>
          </cell>
          <cell r="J230">
            <v>20</v>
          </cell>
          <cell r="K230" t="str">
            <v>Analogue</v>
          </cell>
        </row>
        <row r="231">
          <cell r="H231" t="str">
            <v>Tg. Neamt110</v>
          </cell>
          <cell r="I231" t="str">
            <v>Tg. Neamt</v>
          </cell>
          <cell r="J231">
            <v>110</v>
          </cell>
          <cell r="K231" t="str">
            <v>Analogue</v>
          </cell>
        </row>
        <row r="232">
          <cell r="H232" t="str">
            <v>Tg. Ocna20</v>
          </cell>
          <cell r="I232" t="str">
            <v>Tg. Ocna</v>
          </cell>
          <cell r="J232">
            <v>20</v>
          </cell>
          <cell r="K232" t="str">
            <v>Analogue</v>
          </cell>
        </row>
        <row r="233">
          <cell r="H233" t="str">
            <v>Tg. Ocna110</v>
          </cell>
          <cell r="I233" t="str">
            <v>Tg. Ocna</v>
          </cell>
          <cell r="J233">
            <v>110</v>
          </cell>
          <cell r="K233" t="str">
            <v>Analogue</v>
          </cell>
        </row>
        <row r="234">
          <cell r="H234" t="str">
            <v>Tg. Trotus110</v>
          </cell>
          <cell r="I234" t="str">
            <v>Tg. Trotus</v>
          </cell>
          <cell r="J234">
            <v>110</v>
          </cell>
          <cell r="K234" t="str">
            <v>Analogue</v>
          </cell>
        </row>
        <row r="235">
          <cell r="H235" t="str">
            <v>Tibanesti20</v>
          </cell>
          <cell r="I235" t="str">
            <v>Tibanesti</v>
          </cell>
          <cell r="J235">
            <v>20</v>
          </cell>
          <cell r="K235" t="str">
            <v>Analogue</v>
          </cell>
        </row>
        <row r="236">
          <cell r="H236" t="str">
            <v>Tibanesti110</v>
          </cell>
          <cell r="I236" t="str">
            <v>Tibanesti</v>
          </cell>
          <cell r="J236">
            <v>110</v>
          </cell>
          <cell r="K236" t="str">
            <v>Analogue</v>
          </cell>
        </row>
        <row r="237">
          <cell r="H237" t="str">
            <v>Tricotaje20</v>
          </cell>
          <cell r="I237" t="str">
            <v>Tricotaje</v>
          </cell>
          <cell r="J237">
            <v>20</v>
          </cell>
          <cell r="K237" t="str">
            <v>Analogue</v>
          </cell>
        </row>
        <row r="238">
          <cell r="H238" t="str">
            <v>Tricotaje110</v>
          </cell>
          <cell r="I238" t="str">
            <v>Tricotaje</v>
          </cell>
          <cell r="J238">
            <v>110</v>
          </cell>
          <cell r="K238" t="str">
            <v>Analogue</v>
          </cell>
        </row>
        <row r="239">
          <cell r="H239" t="str">
            <v>Trifesti20</v>
          </cell>
          <cell r="I239" t="str">
            <v>Trifesti</v>
          </cell>
          <cell r="J239">
            <v>20</v>
          </cell>
          <cell r="K239" t="str">
            <v>Analogue</v>
          </cell>
        </row>
        <row r="240">
          <cell r="H240" t="str">
            <v>Trifesti110</v>
          </cell>
          <cell r="I240" t="str">
            <v>Trifesti</v>
          </cell>
          <cell r="J240">
            <v>110</v>
          </cell>
          <cell r="K240" t="str">
            <v>Analogue</v>
          </cell>
        </row>
        <row r="241">
          <cell r="H241" t="str">
            <v>Trusesti20</v>
          </cell>
          <cell r="I241" t="str">
            <v>Trusesti</v>
          </cell>
          <cell r="J241">
            <v>20</v>
          </cell>
          <cell r="K241" t="str">
            <v>Analogue</v>
          </cell>
        </row>
        <row r="242">
          <cell r="H242" t="str">
            <v>Trusesti110</v>
          </cell>
          <cell r="I242" t="str">
            <v>Trusesti</v>
          </cell>
          <cell r="J242">
            <v>110</v>
          </cell>
          <cell r="K242" t="str">
            <v>Analogue</v>
          </cell>
        </row>
        <row r="243">
          <cell r="H243" t="str">
            <v>Tupilati20</v>
          </cell>
          <cell r="I243" t="str">
            <v>Tupilati</v>
          </cell>
          <cell r="J243">
            <v>20</v>
          </cell>
          <cell r="K243" t="str">
            <v>Analogue</v>
          </cell>
        </row>
        <row r="244">
          <cell r="H244" t="str">
            <v>Tupilati110</v>
          </cell>
          <cell r="I244" t="str">
            <v>Tupilati</v>
          </cell>
          <cell r="J244">
            <v>110</v>
          </cell>
          <cell r="K244" t="str">
            <v>Analogue</v>
          </cell>
        </row>
        <row r="245">
          <cell r="H245" t="str">
            <v>Tutora20</v>
          </cell>
          <cell r="I245" t="str">
            <v>Tutora</v>
          </cell>
          <cell r="J245">
            <v>20</v>
          </cell>
          <cell r="K245" t="str">
            <v>Analogue</v>
          </cell>
        </row>
        <row r="246">
          <cell r="H246" t="str">
            <v>Tutora110</v>
          </cell>
          <cell r="I246" t="str">
            <v>Tutora</v>
          </cell>
          <cell r="J246">
            <v>110</v>
          </cell>
          <cell r="K246" t="str">
            <v>Analogue</v>
          </cell>
        </row>
        <row r="247">
          <cell r="H247" t="str">
            <v>Ulei6</v>
          </cell>
          <cell r="I247" t="str">
            <v>Ulei</v>
          </cell>
          <cell r="J247">
            <v>6</v>
          </cell>
          <cell r="K247" t="str">
            <v>Analogue</v>
          </cell>
        </row>
        <row r="248">
          <cell r="H248" t="str">
            <v>Ulei110</v>
          </cell>
          <cell r="I248" t="str">
            <v>Ulei</v>
          </cell>
          <cell r="J248">
            <v>110</v>
          </cell>
          <cell r="K248" t="str">
            <v>Analogue</v>
          </cell>
        </row>
        <row r="249">
          <cell r="H249" t="str">
            <v>Vaslui20</v>
          </cell>
          <cell r="I249" t="str">
            <v>Vaslui</v>
          </cell>
          <cell r="J249">
            <v>20</v>
          </cell>
          <cell r="K249" t="str">
            <v>Analogue</v>
          </cell>
        </row>
        <row r="250">
          <cell r="H250" t="str">
            <v>Vaslui110</v>
          </cell>
          <cell r="I250" t="str">
            <v>Vaslui</v>
          </cell>
          <cell r="J250">
            <v>110</v>
          </cell>
          <cell r="K250" t="str">
            <v>Analogue</v>
          </cell>
        </row>
        <row r="251">
          <cell r="H251" t="str">
            <v>Vatra20</v>
          </cell>
          <cell r="I251" t="str">
            <v>Vatra</v>
          </cell>
          <cell r="J251">
            <v>20</v>
          </cell>
          <cell r="K251" t="str">
            <v>Analogue</v>
          </cell>
        </row>
        <row r="252">
          <cell r="H252" t="str">
            <v>Vatra110</v>
          </cell>
          <cell r="I252" t="str">
            <v>Vatra</v>
          </cell>
          <cell r="J252">
            <v>110</v>
          </cell>
          <cell r="K252" t="str">
            <v>Analogue</v>
          </cell>
        </row>
        <row r="253">
          <cell r="H253" t="str">
            <v>Vatra Dornei20</v>
          </cell>
          <cell r="I253" t="str">
            <v>Vatra Dornei</v>
          </cell>
          <cell r="J253">
            <v>20</v>
          </cell>
          <cell r="K253" t="str">
            <v>Hibrid</v>
          </cell>
        </row>
        <row r="254">
          <cell r="H254" t="str">
            <v>Vatra Dornei110</v>
          </cell>
          <cell r="I254" t="str">
            <v>Vatra Dornei</v>
          </cell>
          <cell r="J254">
            <v>110</v>
          </cell>
          <cell r="K254" t="str">
            <v>Hibrid</v>
          </cell>
        </row>
        <row r="255">
          <cell r="H255" t="str">
            <v>Veresti20</v>
          </cell>
          <cell r="I255" t="str">
            <v>Veresti</v>
          </cell>
          <cell r="J255">
            <v>20</v>
          </cell>
          <cell r="K255" t="str">
            <v>Analogue</v>
          </cell>
        </row>
        <row r="256">
          <cell r="H256" t="str">
            <v>Veresti110</v>
          </cell>
          <cell r="I256" t="str">
            <v>Veresti</v>
          </cell>
          <cell r="J256">
            <v>110</v>
          </cell>
          <cell r="K256" t="str">
            <v>Analogue</v>
          </cell>
        </row>
        <row r="257">
          <cell r="H257" t="str">
            <v>Vetrisoaia20</v>
          </cell>
          <cell r="I257" t="str">
            <v>Vetrisoaia</v>
          </cell>
          <cell r="J257">
            <v>20</v>
          </cell>
          <cell r="K257" t="str">
            <v>Analogue</v>
          </cell>
        </row>
        <row r="258">
          <cell r="H258" t="str">
            <v>Vetrisoaia110</v>
          </cell>
          <cell r="I258" t="str">
            <v>Vetrisoaia</v>
          </cell>
          <cell r="J258">
            <v>110</v>
          </cell>
          <cell r="K258" t="str">
            <v>Analogue</v>
          </cell>
        </row>
        <row r="259">
          <cell r="H259" t="str">
            <v>Vicov20</v>
          </cell>
          <cell r="I259" t="str">
            <v>Vicov</v>
          </cell>
          <cell r="J259">
            <v>20</v>
          </cell>
          <cell r="K259" t="str">
            <v>Analogue</v>
          </cell>
        </row>
        <row r="260">
          <cell r="H260" t="str">
            <v>Vicov110</v>
          </cell>
          <cell r="I260" t="str">
            <v>Vicov</v>
          </cell>
          <cell r="J260">
            <v>110</v>
          </cell>
          <cell r="K260" t="str">
            <v>Analogue</v>
          </cell>
        </row>
        <row r="261">
          <cell r="H261" t="str">
            <v>Vladeni20</v>
          </cell>
          <cell r="I261" t="str">
            <v>Vladeni</v>
          </cell>
          <cell r="J261">
            <v>20</v>
          </cell>
          <cell r="K261" t="str">
            <v>Analogue</v>
          </cell>
        </row>
        <row r="262">
          <cell r="H262" t="str">
            <v>Vladeni110</v>
          </cell>
          <cell r="I262" t="str">
            <v>Vladeni</v>
          </cell>
          <cell r="J262">
            <v>110</v>
          </cell>
          <cell r="K262" t="str">
            <v>Analogue</v>
          </cell>
        </row>
        <row r="263">
          <cell r="H263" t="str">
            <v>Zemes6</v>
          </cell>
          <cell r="I263" t="str">
            <v>Zemes</v>
          </cell>
          <cell r="J263">
            <v>6</v>
          </cell>
          <cell r="K263" t="str">
            <v>Analogue</v>
          </cell>
        </row>
        <row r="264">
          <cell r="H264" t="str">
            <v>Zemes10</v>
          </cell>
          <cell r="I264" t="str">
            <v>Zemes</v>
          </cell>
          <cell r="J264">
            <v>10</v>
          </cell>
          <cell r="K264" t="str">
            <v>Analogue</v>
          </cell>
        </row>
        <row r="265">
          <cell r="H265" t="str">
            <v>Zemes20</v>
          </cell>
          <cell r="I265" t="str">
            <v>Zemes</v>
          </cell>
          <cell r="J265">
            <v>20</v>
          </cell>
          <cell r="K265" t="str">
            <v>Analogue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Inputs"/>
      <sheetName val="Parameters"/>
      <sheetName val="Financial analysis"/>
      <sheetName val="Economic analysis"/>
      <sheetName val="Sensitivity"/>
      <sheetName val="Output-economic"/>
      <sheetName val="Output-financial"/>
      <sheetName val="Estimated job created"/>
      <sheetName val="Qualitative risk"/>
    </sheetNames>
    <sheetDataSet>
      <sheetData sheetId="0"/>
      <sheetData sheetId="1">
        <row r="6">
          <cell r="D6" t="str">
            <v>EUR</v>
          </cell>
        </row>
      </sheetData>
      <sheetData sheetId="2"/>
      <sheetData sheetId="3"/>
      <sheetData sheetId="4">
        <row r="17">
          <cell r="D17">
            <v>67015543.71351666</v>
          </cell>
        </row>
      </sheetData>
      <sheetData sheetId="5">
        <row r="4">
          <cell r="AC4">
            <v>-8.5543226352942744E-2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DG"/>
      <sheetName val="Buget"/>
      <sheetName val="Inputs"/>
      <sheetName val="Anexa 1 - Investitia"/>
      <sheetName val="Anexa 2 - Venituri si costuri"/>
      <sheetName val="Anexa 3 - Plan finantare"/>
      <sheetName val="Anexa 4 - Calcul FG si RIR"/>
      <sheetName val="Anexa 5 - Analiza economica"/>
      <sheetName val="Anexa 6 - Sensitivitate"/>
      <sheetName val="Anexa 7 - Plan de finantare"/>
      <sheetName val="Output financiar"/>
      <sheetName val="Output economic"/>
    </sheetNames>
    <sheetDataSet>
      <sheetData sheetId="0"/>
      <sheetData sheetId="1"/>
      <sheetData sheetId="2"/>
      <sheetData sheetId="3">
        <row r="11">
          <cell r="D11">
            <v>4.8750999999999998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Inputs"/>
      <sheetName val="scenariul FP"/>
      <sheetName val="scenariul CP"/>
      <sheetName val="consumers"/>
      <sheetName val="C&amp;P"/>
      <sheetName val="M&amp;R"/>
      <sheetName val="Macroeconomic"/>
      <sheetName val="Demand"/>
      <sheetName val="O&amp;M costs"/>
      <sheetName val="amortizare"/>
      <sheetName val="Revenues"/>
      <sheetName val="DG"/>
      <sheetName val="Investment"/>
      <sheetName val="Funding gap"/>
      <sheetName val="Economic analysis"/>
      <sheetName val="Sensitivity (2)"/>
      <sheetName val="Sensitivitate"/>
      <sheetName val="Senzitivitate"/>
      <sheetName val="Risk"/>
      <sheetName val="Financing plan"/>
      <sheetName val="Aplication"/>
      <sheetName val="Tabele CF"/>
      <sheetName val="Option analysis-Financial"/>
      <sheetName val="Option analysis-Economic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D2">
            <v>4.9478999999999997</v>
          </cell>
        </row>
        <row r="3">
          <cell r="D3">
            <v>0.19</v>
          </cell>
        </row>
        <row r="4">
          <cell r="D4">
            <v>6.6000000000000003E-2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i vechime"/>
      <sheetName val="General"/>
      <sheetName val="Inputs"/>
      <sheetName val="Centralizator PT-uri"/>
      <sheetName val="Date de intrare analiza"/>
      <sheetName val="Reparatii 2014"/>
      <sheetName val="Reparatii 2015"/>
      <sheetName val="Reparatii 2016"/>
      <sheetName val="Raport reparatii"/>
      <sheetName val="FORECAST_M&amp;R"/>
      <sheetName val="ZC+SARARI C&amp;R "/>
      <sheetName val="Pascani C&amp;R"/>
      <sheetName val="Gorban C&amp;R"/>
      <sheetName val="Harlau"/>
      <sheetName val="Pascani"/>
      <sheetName val="Gorban"/>
      <sheetName val="Foaie1"/>
      <sheetName val="Foaie5"/>
      <sheetName val="SUM_C&amp;R"/>
      <sheetName val="DG si Buget"/>
      <sheetName val="Investment"/>
      <sheetName val="DG_cheu&amp;plat"/>
      <sheetName val="Implement."/>
      <sheetName val="DG Cheu"/>
      <sheetName val="DG_Plat"/>
      <sheetName val="Lucrari"/>
      <sheetName val="DO_01 Cheu"/>
      <sheetName val="1.2"/>
      <sheetName val="1.3"/>
      <sheetName val="2"/>
      <sheetName val="3.1"/>
      <sheetName val="3.2"/>
      <sheetName val="3.3"/>
      <sheetName val="3.4"/>
      <sheetName val="3.5"/>
      <sheetName val="3.6"/>
      <sheetName val="gant_cheu&amp;plat"/>
      <sheetName val="Gant_Plat"/>
      <sheetName val="Gant_cheu"/>
      <sheetName val="Gantt, Plan de finantare"/>
      <sheetName val="Funding gap"/>
      <sheetName val="Application Form"/>
      <sheetName val="Sensit"/>
      <sheetName val="Risk"/>
      <sheetName val="Financing plan"/>
      <sheetName val="Update Log"/>
      <sheetName val="4.1."/>
      <sheetName val="4.2."/>
      <sheetName val="4.3."/>
      <sheetName val="4.4."/>
      <sheetName val="4.5. "/>
      <sheetName val="5.1"/>
      <sheetName val="5.2"/>
      <sheetName val="5.3"/>
      <sheetName val="6.1"/>
      <sheetName val="6.2"/>
    </sheetNames>
    <sheetDataSet>
      <sheetData sheetId="0" refreshError="1"/>
      <sheetData sheetId="1" refreshError="1"/>
      <sheetData sheetId="2" refreshError="1">
        <row r="15">
          <cell r="E15">
            <v>0.9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42">
          <cell r="C42" t="str">
            <v>Pregatire documentatie de finantare</v>
          </cell>
        </row>
        <row r="101">
          <cell r="E101">
            <v>0.16666666666666669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Input"/>
      <sheetName val="Capex"/>
      <sheetName val="Revenues"/>
      <sheetName val="Expenses"/>
      <sheetName val="P&amp;L, Cash Flow"/>
      <sheetName val="CBA Financial Analysis"/>
      <sheetName val="CBA FA Results"/>
      <sheetName val="CBA FA Report"/>
      <sheetName val="Sensitivity and Risk"/>
      <sheetName val="CBA Economic Analysis"/>
      <sheetName val="Externalities"/>
      <sheetName val="Input Externalities 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3012-7D24-4E92-9A21-7F75C5594A93}">
  <sheetPr>
    <pageSetUpPr fitToPage="1"/>
  </sheetPr>
  <dimension ref="A1:BX173"/>
  <sheetViews>
    <sheetView zoomScale="88" zoomScaleNormal="88" workbookViewId="0">
      <pane ySplit="1" topLeftCell="A2" activePane="bottomLeft" state="frozen"/>
      <selection pane="bottomLeft" activeCell="O11" sqref="O11"/>
    </sheetView>
  </sheetViews>
  <sheetFormatPr defaultColWidth="9.140625" defaultRowHeight="16.5" x14ac:dyDescent="0.3"/>
  <cols>
    <col min="1" max="1" width="3.85546875" style="38" customWidth="1"/>
    <col min="2" max="2" width="3.28515625" style="296" customWidth="1"/>
    <col min="3" max="3" width="15.140625" style="38" customWidth="1"/>
    <col min="4" max="6" width="9.140625" style="38"/>
    <col min="7" max="7" width="11.7109375" style="38" customWidth="1"/>
    <col min="8" max="8" width="4" style="38" customWidth="1"/>
    <col min="9" max="9" width="15.42578125" style="38" customWidth="1"/>
    <col min="10" max="10" width="4" style="38" customWidth="1"/>
    <col min="11" max="11" width="10.42578125" style="38" customWidth="1"/>
    <col min="12" max="12" width="3.5703125" style="38" customWidth="1"/>
    <col min="13" max="13" width="12.7109375" style="38" customWidth="1"/>
    <col min="14" max="14" width="11.28515625" style="38" customWidth="1"/>
    <col min="15" max="26" width="12.7109375" style="38" customWidth="1"/>
    <col min="27" max="28" width="9.140625" style="38" customWidth="1"/>
    <col min="29" max="29" width="9.42578125" style="38" customWidth="1"/>
    <col min="30" max="51" width="9.140625" style="38"/>
    <col min="52" max="52" width="4.5703125" style="38" customWidth="1"/>
    <col min="53" max="16384" width="9.140625" style="38"/>
  </cols>
  <sheetData>
    <row r="1" spans="1:76" ht="15" customHeight="1" x14ac:dyDescent="0.3"/>
    <row r="2" spans="1:76" ht="15" customHeight="1" x14ac:dyDescent="0.3"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76" ht="22.5" customHeight="1" x14ac:dyDescent="0.3">
      <c r="C3" s="297" t="s">
        <v>0</v>
      </c>
      <c r="D3" s="627" t="s">
        <v>563</v>
      </c>
      <c r="E3" s="627"/>
      <c r="F3" s="627"/>
      <c r="G3" s="627"/>
      <c r="H3" s="627"/>
      <c r="I3" s="627"/>
      <c r="J3" s="298"/>
      <c r="K3" s="298"/>
      <c r="L3" s="298"/>
      <c r="M3" s="622" t="s">
        <v>3</v>
      </c>
      <c r="N3" s="623"/>
      <c r="O3" s="299" t="s">
        <v>17</v>
      </c>
      <c r="P3" s="613" t="s">
        <v>18</v>
      </c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  <c r="AX3" s="613"/>
      <c r="AY3" s="613"/>
    </row>
    <row r="4" spans="1:76" ht="31.5" customHeight="1" x14ac:dyDescent="0.3">
      <c r="C4" s="297" t="s">
        <v>1</v>
      </c>
      <c r="D4" s="624" t="s">
        <v>564</v>
      </c>
      <c r="E4" s="625"/>
      <c r="F4" s="625"/>
      <c r="G4" s="625"/>
      <c r="H4" s="625"/>
      <c r="I4" s="626"/>
      <c r="J4" s="298"/>
      <c r="K4" s="298"/>
      <c r="L4" s="298"/>
      <c r="M4" s="40">
        <f>N4-1</f>
        <v>2021</v>
      </c>
      <c r="N4" s="40">
        <f>O4-1</f>
        <v>2022</v>
      </c>
      <c r="O4" s="40">
        <f>I17</f>
        <v>2023</v>
      </c>
      <c r="P4" s="40">
        <f>IF(AND((O4+1)&lt;=($I$17+$I$20),O4&gt;0),O4+1,0)</f>
        <v>2024</v>
      </c>
      <c r="Q4" s="40">
        <f t="shared" ref="Q4:AY4" si="0">IF(AND((P4+1)&lt;=($I$17+$I$20),P4&gt;0),P4+1,0)</f>
        <v>2025</v>
      </c>
      <c r="R4" s="40">
        <f t="shared" si="0"/>
        <v>2026</v>
      </c>
      <c r="S4" s="40">
        <f t="shared" si="0"/>
        <v>2027</v>
      </c>
      <c r="T4" s="40">
        <f t="shared" si="0"/>
        <v>2028</v>
      </c>
      <c r="U4" s="40">
        <f t="shared" si="0"/>
        <v>2029</v>
      </c>
      <c r="V4" s="40">
        <f t="shared" si="0"/>
        <v>2030</v>
      </c>
      <c r="W4" s="40">
        <f t="shared" si="0"/>
        <v>2031</v>
      </c>
      <c r="X4" s="40">
        <f t="shared" si="0"/>
        <v>2032</v>
      </c>
      <c r="Y4" s="40">
        <f t="shared" si="0"/>
        <v>2033</v>
      </c>
      <c r="Z4" s="40">
        <f t="shared" si="0"/>
        <v>2034</v>
      </c>
      <c r="AA4" s="40">
        <f t="shared" si="0"/>
        <v>2035</v>
      </c>
      <c r="AB4" s="40">
        <f t="shared" si="0"/>
        <v>2036</v>
      </c>
      <c r="AC4" s="40">
        <f t="shared" si="0"/>
        <v>2037</v>
      </c>
      <c r="AD4" s="40">
        <f t="shared" si="0"/>
        <v>2038</v>
      </c>
      <c r="AE4" s="40">
        <f t="shared" si="0"/>
        <v>2039</v>
      </c>
      <c r="AF4" s="40">
        <f t="shared" si="0"/>
        <v>2040</v>
      </c>
      <c r="AG4" s="40">
        <f t="shared" si="0"/>
        <v>2041</v>
      </c>
      <c r="AH4" s="40">
        <f t="shared" si="0"/>
        <v>2042</v>
      </c>
      <c r="AI4" s="40">
        <f t="shared" si="0"/>
        <v>2043</v>
      </c>
      <c r="AJ4" s="40">
        <f t="shared" si="0"/>
        <v>2044</v>
      </c>
      <c r="AK4" s="40">
        <f t="shared" si="0"/>
        <v>2045</v>
      </c>
      <c r="AL4" s="40">
        <f t="shared" si="0"/>
        <v>2046</v>
      </c>
      <c r="AM4" s="40">
        <f t="shared" si="0"/>
        <v>2047</v>
      </c>
      <c r="AN4" s="40">
        <f t="shared" si="0"/>
        <v>2048</v>
      </c>
      <c r="AO4" s="40">
        <f t="shared" si="0"/>
        <v>2049</v>
      </c>
      <c r="AP4" s="40">
        <f t="shared" si="0"/>
        <v>2050</v>
      </c>
      <c r="AQ4" s="40">
        <f t="shared" si="0"/>
        <v>2051</v>
      </c>
      <c r="AR4" s="40">
        <f t="shared" si="0"/>
        <v>2052</v>
      </c>
      <c r="AS4" s="40">
        <f t="shared" si="0"/>
        <v>2053</v>
      </c>
      <c r="AT4" s="40">
        <f t="shared" si="0"/>
        <v>0</v>
      </c>
      <c r="AU4" s="40">
        <f t="shared" si="0"/>
        <v>0</v>
      </c>
      <c r="AV4" s="40">
        <f t="shared" si="0"/>
        <v>0</v>
      </c>
      <c r="AW4" s="40">
        <f t="shared" si="0"/>
        <v>0</v>
      </c>
      <c r="AX4" s="40">
        <f t="shared" si="0"/>
        <v>0</v>
      </c>
      <c r="AY4" s="40">
        <f t="shared" si="0"/>
        <v>0</v>
      </c>
    </row>
    <row r="7" spans="1:76" ht="17.25" thickBo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</row>
    <row r="8" spans="1:76" ht="15.75" customHeight="1" thickBot="1" x14ac:dyDescent="0.35">
      <c r="A8" s="41"/>
      <c r="B8" s="41"/>
      <c r="C8" s="615" t="s">
        <v>4</v>
      </c>
      <c r="D8" s="616"/>
      <c r="E8" s="616"/>
      <c r="F8" s="616"/>
      <c r="G8" s="616"/>
      <c r="H8" s="61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</row>
    <row r="9" spans="1:76" s="43" customFormat="1" x14ac:dyDescent="0.3">
      <c r="A9" s="41"/>
      <c r="B9" s="296"/>
      <c r="C9" s="42"/>
      <c r="D9" s="42"/>
      <c r="E9" s="42"/>
      <c r="F9" s="42"/>
      <c r="G9" s="42"/>
      <c r="AB9" s="38"/>
      <c r="AC9" s="38"/>
      <c r="AZ9" s="41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</row>
    <row r="10" spans="1:76" s="43" customFormat="1" x14ac:dyDescent="0.3">
      <c r="A10" s="41"/>
      <c r="B10" s="300">
        <v>1</v>
      </c>
      <c r="C10" s="608" t="s">
        <v>2</v>
      </c>
      <c r="D10" s="608"/>
      <c r="E10" s="608"/>
      <c r="F10" s="608"/>
      <c r="G10" s="608"/>
      <c r="I10" s="490">
        <v>0.04</v>
      </c>
      <c r="AB10" s="38"/>
      <c r="AC10" s="38"/>
      <c r="AZ10" s="41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</row>
    <row r="11" spans="1:76" s="43" customFormat="1" x14ac:dyDescent="0.3">
      <c r="A11" s="41"/>
      <c r="B11" s="300">
        <f>B10+1</f>
        <v>2</v>
      </c>
      <c r="C11" s="608" t="s">
        <v>126</v>
      </c>
      <c r="D11" s="608"/>
      <c r="E11" s="608"/>
      <c r="F11" s="608"/>
      <c r="G11" s="608"/>
      <c r="I11" s="490">
        <v>0.03</v>
      </c>
      <c r="AB11" s="38"/>
      <c r="AC11" s="38"/>
      <c r="AZ11" s="41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</row>
    <row r="12" spans="1:76" s="43" customFormat="1" x14ac:dyDescent="0.3">
      <c r="A12" s="41"/>
      <c r="B12" s="300"/>
      <c r="C12" s="42"/>
      <c r="D12" s="42"/>
      <c r="E12" s="42"/>
      <c r="F12" s="42"/>
      <c r="G12" s="42"/>
      <c r="AB12" s="38"/>
      <c r="AC12" s="38"/>
      <c r="AZ12" s="41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</row>
    <row r="13" spans="1:76" s="43" customFormat="1" x14ac:dyDescent="0.3">
      <c r="A13" s="41"/>
      <c r="B13" s="300">
        <f>B11+1</f>
        <v>3</v>
      </c>
      <c r="C13" s="608" t="s">
        <v>129</v>
      </c>
      <c r="D13" s="608"/>
      <c r="E13" s="608"/>
      <c r="F13" s="608"/>
      <c r="G13" s="608"/>
      <c r="I13" s="491" t="s">
        <v>127</v>
      </c>
      <c r="AB13" s="38"/>
      <c r="AC13" s="38"/>
      <c r="AZ13" s="41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</row>
    <row r="14" spans="1:76" s="43" customFormat="1" x14ac:dyDescent="0.3">
      <c r="A14" s="41"/>
      <c r="B14" s="300"/>
      <c r="C14" s="42"/>
      <c r="D14" s="42"/>
      <c r="E14" s="42"/>
      <c r="F14" s="42"/>
      <c r="G14" s="42"/>
      <c r="AB14" s="38"/>
      <c r="AC14" s="38"/>
      <c r="AZ14" s="41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</row>
    <row r="15" spans="1:76" s="43" customFormat="1" x14ac:dyDescent="0.3">
      <c r="A15" s="41"/>
      <c r="B15" s="300">
        <f>B13+1</f>
        <v>4</v>
      </c>
      <c r="C15" s="598" t="s">
        <v>122</v>
      </c>
      <c r="D15" s="599"/>
      <c r="E15" s="599"/>
      <c r="F15" s="599"/>
      <c r="G15" s="600"/>
      <c r="I15" s="301">
        <v>1</v>
      </c>
      <c r="J15" s="302"/>
      <c r="K15" s="302"/>
      <c r="L15" s="302"/>
      <c r="P15" s="492"/>
      <c r="Q15" s="493" t="s">
        <v>19</v>
      </c>
      <c r="AB15" s="38"/>
      <c r="AC15" s="38"/>
      <c r="AZ15" s="41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</row>
    <row r="16" spans="1:76" s="43" customFormat="1" x14ac:dyDescent="0.3">
      <c r="A16" s="41"/>
      <c r="B16" s="300"/>
      <c r="C16" s="599"/>
      <c r="D16" s="599"/>
      <c r="E16" s="599"/>
      <c r="F16" s="599"/>
      <c r="G16" s="599"/>
      <c r="I16" s="303"/>
      <c r="J16" s="302"/>
      <c r="K16" s="302"/>
      <c r="L16" s="302"/>
      <c r="P16" s="304"/>
      <c r="Q16" s="493" t="s">
        <v>20</v>
      </c>
      <c r="AB16" s="38"/>
      <c r="AC16" s="38"/>
      <c r="AZ16" s="41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</row>
    <row r="17" spans="1:76" s="43" customFormat="1" ht="14.25" customHeight="1" x14ac:dyDescent="0.3">
      <c r="A17" s="41"/>
      <c r="B17" s="300">
        <f>B15+1</f>
        <v>5</v>
      </c>
      <c r="C17" s="598" t="s">
        <v>5</v>
      </c>
      <c r="D17" s="599"/>
      <c r="E17" s="599"/>
      <c r="F17" s="599"/>
      <c r="G17" s="600"/>
      <c r="I17" s="494">
        <v>2023</v>
      </c>
      <c r="J17" s="302"/>
      <c r="K17" s="302"/>
      <c r="L17" s="302"/>
      <c r="AB17" s="38"/>
      <c r="AC17" s="38"/>
      <c r="AZ17" s="41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</row>
    <row r="18" spans="1:76" s="43" customFormat="1" ht="14.25" customHeight="1" x14ac:dyDescent="0.3">
      <c r="A18" s="41"/>
      <c r="B18" s="300">
        <f>B17+1</f>
        <v>6</v>
      </c>
      <c r="C18" s="598" t="s">
        <v>6</v>
      </c>
      <c r="D18" s="599"/>
      <c r="E18" s="599"/>
      <c r="F18" s="599"/>
      <c r="G18" s="600"/>
      <c r="I18" s="491">
        <v>4</v>
      </c>
      <c r="J18" s="495"/>
      <c r="K18" s="495"/>
      <c r="L18" s="495"/>
      <c r="AB18" s="38"/>
      <c r="AC18" s="38"/>
      <c r="AZ18" s="41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</row>
    <row r="19" spans="1:76" s="43" customFormat="1" ht="12.75" customHeight="1" x14ac:dyDescent="0.3">
      <c r="A19" s="41"/>
      <c r="B19" s="300">
        <f t="shared" ref="B19:B20" si="1">B18+1</f>
        <v>7</v>
      </c>
      <c r="C19" s="598" t="s">
        <v>669</v>
      </c>
      <c r="D19" s="599"/>
      <c r="E19" s="599"/>
      <c r="F19" s="599"/>
      <c r="G19" s="600"/>
      <c r="I19" s="491">
        <v>30</v>
      </c>
      <c r="J19" s="305"/>
      <c r="K19" s="305"/>
      <c r="L19" s="305"/>
      <c r="AB19" s="38"/>
      <c r="AC19" s="38"/>
      <c r="AZ19" s="41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</row>
    <row r="20" spans="1:76" s="43" customFormat="1" ht="12.75" customHeight="1" x14ac:dyDescent="0.3">
      <c r="A20" s="41"/>
      <c r="B20" s="300">
        <f t="shared" si="1"/>
        <v>8</v>
      </c>
      <c r="C20" s="598" t="s">
        <v>60</v>
      </c>
      <c r="D20" s="599"/>
      <c r="E20" s="599"/>
      <c r="F20" s="599"/>
      <c r="G20" s="600"/>
      <c r="I20" s="496">
        <f>I19</f>
        <v>30</v>
      </c>
      <c r="J20" s="305"/>
      <c r="K20" s="305"/>
      <c r="L20" s="305"/>
      <c r="AB20" s="38"/>
      <c r="AC20" s="38"/>
      <c r="AZ20" s="41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1:76" s="43" customFormat="1" ht="12.75" customHeight="1" x14ac:dyDescent="0.3">
      <c r="A21" s="41"/>
      <c r="B21" s="300"/>
      <c r="C21" s="306"/>
      <c r="D21" s="306"/>
      <c r="E21" s="306"/>
      <c r="F21" s="306"/>
      <c r="G21" s="306"/>
      <c r="I21" s="497"/>
      <c r="J21" s="305"/>
      <c r="K21" s="305"/>
      <c r="L21" s="305"/>
      <c r="AB21" s="38"/>
      <c r="AC21" s="38"/>
      <c r="AZ21" s="41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</row>
    <row r="22" spans="1:76" s="43" customFormat="1" ht="12.75" customHeight="1" x14ac:dyDescent="0.3">
      <c r="A22" s="41"/>
      <c r="B22" s="300">
        <f>B20+1</f>
        <v>9</v>
      </c>
      <c r="C22" s="608" t="s">
        <v>125</v>
      </c>
      <c r="D22" s="608"/>
      <c r="E22" s="608"/>
      <c r="F22" s="608"/>
      <c r="G22" s="608"/>
      <c r="I22" s="498">
        <v>0.19</v>
      </c>
      <c r="J22" s="305"/>
      <c r="K22" s="305"/>
      <c r="L22" s="305"/>
      <c r="AB22" s="38"/>
      <c r="AC22" s="38"/>
      <c r="AZ22" s="41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</row>
    <row r="23" spans="1:76" s="43" customFormat="1" ht="12.75" customHeight="1" x14ac:dyDescent="0.3">
      <c r="A23" s="41"/>
      <c r="B23" s="300">
        <f>B22+1</f>
        <v>10</v>
      </c>
      <c r="C23" s="608" t="s">
        <v>396</v>
      </c>
      <c r="D23" s="608"/>
      <c r="E23" s="608"/>
      <c r="F23" s="608"/>
      <c r="G23" s="608"/>
      <c r="I23" s="498">
        <v>0.05</v>
      </c>
      <c r="J23" s="305"/>
      <c r="K23" s="305"/>
      <c r="L23" s="305"/>
      <c r="AB23" s="38"/>
      <c r="AC23" s="38"/>
      <c r="AZ23" s="41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</row>
    <row r="24" spans="1:76" s="43" customFormat="1" ht="12.75" customHeight="1" x14ac:dyDescent="0.3">
      <c r="A24" s="41"/>
      <c r="B24" s="300"/>
      <c r="C24" s="306"/>
      <c r="D24" s="306"/>
      <c r="E24" s="306"/>
      <c r="F24" s="306"/>
      <c r="G24" s="306"/>
      <c r="I24" s="499"/>
      <c r="J24" s="305"/>
      <c r="K24" s="305"/>
      <c r="L24" s="305"/>
      <c r="AB24" s="38"/>
      <c r="AC24" s="38"/>
      <c r="AZ24" s="41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</row>
    <row r="25" spans="1:76" s="43" customFormat="1" ht="17.25" customHeight="1" x14ac:dyDescent="0.3">
      <c r="A25" s="41"/>
      <c r="B25" s="300">
        <f>B23+1</f>
        <v>11</v>
      </c>
      <c r="C25" s="598" t="s">
        <v>514</v>
      </c>
      <c r="D25" s="599"/>
      <c r="E25" s="599"/>
      <c r="F25" s="599"/>
      <c r="G25" s="600"/>
      <c r="I25" s="307">
        <v>0.1</v>
      </c>
      <c r="J25" s="305"/>
      <c r="K25" s="305"/>
      <c r="L25" s="305"/>
      <c r="AB25" s="38"/>
      <c r="AC25" s="38"/>
      <c r="AZ25" s="41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</row>
    <row r="26" spans="1:76" s="43" customFormat="1" ht="17.25" customHeight="1" x14ac:dyDescent="0.3">
      <c r="A26" s="41"/>
      <c r="B26" s="300"/>
      <c r="C26" s="306"/>
      <c r="D26" s="306"/>
      <c r="E26" s="306"/>
      <c r="F26" s="306"/>
      <c r="G26" s="306"/>
      <c r="L26" s="305"/>
      <c r="AB26" s="38"/>
      <c r="AC26" s="38"/>
      <c r="AZ26" s="41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</row>
    <row r="27" spans="1:76" s="43" customFormat="1" ht="17.25" customHeight="1" x14ac:dyDescent="0.3">
      <c r="A27" s="41"/>
      <c r="B27" s="300">
        <f>B25+1</f>
        <v>12</v>
      </c>
      <c r="C27" s="598" t="s">
        <v>658</v>
      </c>
      <c r="D27" s="599"/>
      <c r="E27" s="599"/>
      <c r="F27" s="599"/>
      <c r="G27" s="600"/>
      <c r="I27" s="587">
        <v>4.9752999999999998</v>
      </c>
      <c r="J27" s="305"/>
      <c r="K27" s="305"/>
      <c r="L27" s="305"/>
      <c r="AB27" s="38"/>
      <c r="AC27" s="38"/>
      <c r="AZ27" s="41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</row>
    <row r="28" spans="1:76" s="43" customFormat="1" x14ac:dyDescent="0.3">
      <c r="A28" s="41"/>
      <c r="B28" s="300"/>
      <c r="C28" s="42"/>
      <c r="D28" s="42"/>
      <c r="E28" s="42"/>
      <c r="F28" s="42"/>
      <c r="G28" s="42"/>
      <c r="AB28" s="38"/>
      <c r="AC28" s="38"/>
      <c r="AZ28" s="41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</row>
    <row r="29" spans="1:76" s="43" customFormat="1" ht="17.25" thickBot="1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</row>
    <row r="30" spans="1:76" s="43" customFormat="1" ht="15.75" customHeight="1" thickBot="1" x14ac:dyDescent="0.35">
      <c r="A30" s="41"/>
      <c r="B30" s="41"/>
      <c r="C30" s="615" t="s">
        <v>9</v>
      </c>
      <c r="D30" s="616"/>
      <c r="E30" s="616"/>
      <c r="F30" s="616"/>
      <c r="G30" s="616"/>
      <c r="H30" s="617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</row>
    <row r="31" spans="1:76" s="43" customFormat="1" x14ac:dyDescent="0.3">
      <c r="A31" s="41"/>
      <c r="B31" s="296"/>
      <c r="C31" s="42"/>
      <c r="D31" s="42"/>
      <c r="E31" s="42"/>
      <c r="F31" s="42"/>
      <c r="G31" s="42"/>
      <c r="AB31" s="38"/>
      <c r="AC31" s="38"/>
      <c r="AZ31" s="41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</row>
    <row r="32" spans="1:76" s="43" customFormat="1" ht="12" customHeight="1" x14ac:dyDescent="0.3">
      <c r="A32" s="41"/>
      <c r="B32" s="296"/>
      <c r="C32" s="614" t="s">
        <v>10</v>
      </c>
      <c r="D32" s="614"/>
      <c r="E32" s="614"/>
      <c r="F32" s="614"/>
      <c r="G32" s="614"/>
      <c r="AB32" s="38"/>
      <c r="AC32" s="38"/>
      <c r="AZ32" s="41"/>
    </row>
    <row r="33" spans="1:52" s="43" customFormat="1" x14ac:dyDescent="0.3">
      <c r="A33" s="41"/>
      <c r="B33" s="296">
        <f>B27+1</f>
        <v>13</v>
      </c>
      <c r="C33" s="598" t="s">
        <v>14</v>
      </c>
      <c r="D33" s="599"/>
      <c r="E33" s="599"/>
      <c r="F33" s="599"/>
      <c r="G33" s="600"/>
      <c r="I33" s="301" t="s">
        <v>15</v>
      </c>
      <c r="M33" s="500">
        <v>2.5999999999999999E-2</v>
      </c>
      <c r="N33" s="500">
        <v>0.13800000000000001</v>
      </c>
      <c r="O33" s="500">
        <v>0.105</v>
      </c>
      <c r="P33" s="500">
        <v>0.06</v>
      </c>
      <c r="Q33" s="500">
        <v>0.04</v>
      </c>
      <c r="R33" s="500">
        <v>2.9000000000000001E-2</v>
      </c>
      <c r="S33" s="500">
        <v>2.5999999999999999E-2</v>
      </c>
      <c r="T33" s="500">
        <v>2.5000000000000001E-2</v>
      </c>
      <c r="U33" s="500">
        <v>2.1999999999999999E-2</v>
      </c>
      <c r="V33" s="500">
        <v>0.02</v>
      </c>
      <c r="W33" s="500">
        <v>0.02</v>
      </c>
      <c r="X33" s="500">
        <v>0.02</v>
      </c>
      <c r="Y33" s="500">
        <v>0.02</v>
      </c>
      <c r="Z33" s="500">
        <v>0.02</v>
      </c>
      <c r="AA33" s="500">
        <v>0.02</v>
      </c>
      <c r="AB33" s="500">
        <v>0.02</v>
      </c>
      <c r="AC33" s="500">
        <v>0.02</v>
      </c>
      <c r="AD33" s="500">
        <v>0.02</v>
      </c>
      <c r="AE33" s="500">
        <v>0.02</v>
      </c>
      <c r="AF33" s="500">
        <v>0.02</v>
      </c>
      <c r="AG33" s="500">
        <v>0.02</v>
      </c>
      <c r="AH33" s="500">
        <v>0.02</v>
      </c>
      <c r="AI33" s="500">
        <v>0.02</v>
      </c>
      <c r="AJ33" s="500">
        <v>0.02</v>
      </c>
      <c r="AK33" s="500">
        <v>0.02</v>
      </c>
      <c r="AL33" s="500">
        <v>0.02</v>
      </c>
      <c r="AM33" s="500">
        <v>0.02</v>
      </c>
      <c r="AN33" s="500">
        <v>0.02</v>
      </c>
      <c r="AO33" s="500">
        <v>0.02</v>
      </c>
      <c r="AP33" s="500">
        <v>0.02</v>
      </c>
      <c r="AQ33" s="500">
        <v>0.02</v>
      </c>
      <c r="AR33" s="500">
        <v>0.02</v>
      </c>
      <c r="AS33" s="500">
        <v>0.02</v>
      </c>
      <c r="AT33" s="500">
        <v>0.02</v>
      </c>
      <c r="AU33" s="500">
        <v>0.02</v>
      </c>
      <c r="AV33" s="500">
        <v>0.02</v>
      </c>
      <c r="AW33" s="500">
        <v>0.02</v>
      </c>
      <c r="AX33" s="500">
        <v>0.02</v>
      </c>
      <c r="AY33" s="500">
        <v>0.02</v>
      </c>
      <c r="AZ33" s="41"/>
    </row>
    <row r="34" spans="1:52" s="43" customFormat="1" x14ac:dyDescent="0.3">
      <c r="A34" s="41"/>
      <c r="B34" s="296">
        <f>B33+1</f>
        <v>14</v>
      </c>
      <c r="C34" s="598" t="s">
        <v>13</v>
      </c>
      <c r="D34" s="599"/>
      <c r="E34" s="599"/>
      <c r="F34" s="599"/>
      <c r="G34" s="600"/>
      <c r="I34" s="301" t="s">
        <v>15</v>
      </c>
      <c r="M34" s="500">
        <v>-3.6999999999999998E-2</v>
      </c>
      <c r="N34" s="500">
        <v>4.7E-2</v>
      </c>
      <c r="O34" s="500">
        <v>0.02</v>
      </c>
      <c r="P34" s="500">
        <v>3.4000000000000002E-2</v>
      </c>
      <c r="Q34" s="500">
        <v>4.2000000000000003E-2</v>
      </c>
      <c r="R34" s="500">
        <v>4.5999999999999999E-2</v>
      </c>
      <c r="S34" s="500">
        <v>4.1000000000000002E-2</v>
      </c>
      <c r="T34" s="500">
        <v>3.5000000000000003E-2</v>
      </c>
      <c r="U34" s="500">
        <v>0.03</v>
      </c>
      <c r="V34" s="500">
        <v>0.03</v>
      </c>
      <c r="W34" s="500">
        <v>0.03</v>
      </c>
      <c r="X34" s="500">
        <v>0.03</v>
      </c>
      <c r="Y34" s="500">
        <v>0.03</v>
      </c>
      <c r="Z34" s="500">
        <v>0.03</v>
      </c>
      <c r="AA34" s="500">
        <v>0.03</v>
      </c>
      <c r="AB34" s="500">
        <v>0.03</v>
      </c>
      <c r="AC34" s="500">
        <v>0.03</v>
      </c>
      <c r="AD34" s="500">
        <v>0.03</v>
      </c>
      <c r="AE34" s="500">
        <v>0.03</v>
      </c>
      <c r="AF34" s="500">
        <v>0.03</v>
      </c>
      <c r="AG34" s="500">
        <v>0.03</v>
      </c>
      <c r="AH34" s="500">
        <v>0.03</v>
      </c>
      <c r="AI34" s="500">
        <v>0.03</v>
      </c>
      <c r="AJ34" s="500">
        <v>0.03</v>
      </c>
      <c r="AK34" s="500">
        <v>0.03</v>
      </c>
      <c r="AL34" s="500">
        <v>0.03</v>
      </c>
      <c r="AM34" s="500">
        <v>0.03</v>
      </c>
      <c r="AN34" s="500">
        <v>0.03</v>
      </c>
      <c r="AO34" s="500">
        <v>0.03</v>
      </c>
      <c r="AP34" s="500">
        <v>0.03</v>
      </c>
      <c r="AQ34" s="500">
        <v>0.03</v>
      </c>
      <c r="AR34" s="500">
        <v>0.03</v>
      </c>
      <c r="AS34" s="500">
        <v>0.03</v>
      </c>
      <c r="AT34" s="500">
        <v>0.03</v>
      </c>
      <c r="AU34" s="500">
        <v>0.03</v>
      </c>
      <c r="AV34" s="500">
        <v>0.03</v>
      </c>
      <c r="AW34" s="500">
        <v>0.03</v>
      </c>
      <c r="AX34" s="500">
        <v>0.03</v>
      </c>
      <c r="AY34" s="500">
        <v>0.03</v>
      </c>
      <c r="AZ34" s="41"/>
    </row>
    <row r="35" spans="1:52" s="43" customFormat="1" x14ac:dyDescent="0.3">
      <c r="A35" s="41"/>
      <c r="B35" s="296">
        <f t="shared" ref="B35:B37" si="2">B34+1</f>
        <v>15</v>
      </c>
      <c r="C35" s="598" t="s">
        <v>12</v>
      </c>
      <c r="D35" s="599"/>
      <c r="E35" s="599"/>
      <c r="F35" s="599"/>
      <c r="G35" s="600"/>
      <c r="I35" s="301" t="s">
        <v>15</v>
      </c>
      <c r="M35" s="500">
        <v>4.9000000000000002E-2</v>
      </c>
      <c r="N35" s="500">
        <v>-2.1999999999999999E-2</v>
      </c>
      <c r="O35" s="500">
        <v>0.03</v>
      </c>
      <c r="P35" s="500">
        <v>3.1E-2</v>
      </c>
      <c r="Q35" s="500">
        <v>3.7999999999999999E-2</v>
      </c>
      <c r="R35" s="500">
        <v>4.1000000000000002E-2</v>
      </c>
      <c r="S35" s="500">
        <v>3.6999999999999998E-2</v>
      </c>
      <c r="T35" s="500">
        <v>3.5000000000000003E-2</v>
      </c>
      <c r="U35" s="500">
        <v>0.03</v>
      </c>
      <c r="V35" s="500">
        <v>0.03</v>
      </c>
      <c r="W35" s="500">
        <v>0.03</v>
      </c>
      <c r="X35" s="500">
        <v>0.03</v>
      </c>
      <c r="Y35" s="500">
        <v>0.03</v>
      </c>
      <c r="Z35" s="500">
        <v>0.03</v>
      </c>
      <c r="AA35" s="500">
        <v>0.03</v>
      </c>
      <c r="AB35" s="500">
        <v>0.03</v>
      </c>
      <c r="AC35" s="500">
        <v>0.03</v>
      </c>
      <c r="AD35" s="500">
        <v>0.03</v>
      </c>
      <c r="AE35" s="500">
        <v>0.03</v>
      </c>
      <c r="AF35" s="500">
        <v>0.03</v>
      </c>
      <c r="AG35" s="500">
        <v>0.03</v>
      </c>
      <c r="AH35" s="500">
        <v>0.03</v>
      </c>
      <c r="AI35" s="500">
        <v>0.03</v>
      </c>
      <c r="AJ35" s="500">
        <v>0.03</v>
      </c>
      <c r="AK35" s="500">
        <v>0.03</v>
      </c>
      <c r="AL35" s="500">
        <v>0.03</v>
      </c>
      <c r="AM35" s="500">
        <v>0.03</v>
      </c>
      <c r="AN35" s="500">
        <v>0.03</v>
      </c>
      <c r="AO35" s="500">
        <v>0.03</v>
      </c>
      <c r="AP35" s="500">
        <v>0.03</v>
      </c>
      <c r="AQ35" s="500">
        <v>0.03</v>
      </c>
      <c r="AR35" s="500">
        <v>0.03</v>
      </c>
      <c r="AS35" s="500">
        <v>0.03</v>
      </c>
      <c r="AT35" s="500">
        <v>0.03</v>
      </c>
      <c r="AU35" s="500">
        <v>0.03</v>
      </c>
      <c r="AV35" s="500">
        <v>0.03</v>
      </c>
      <c r="AW35" s="500">
        <v>0.03</v>
      </c>
      <c r="AX35" s="500">
        <v>0.03</v>
      </c>
      <c r="AY35" s="500">
        <v>0.03</v>
      </c>
      <c r="AZ35" s="41"/>
    </row>
    <row r="36" spans="1:52" s="43" customFormat="1" x14ac:dyDescent="0.3">
      <c r="A36" s="41"/>
      <c r="B36" s="296">
        <f t="shared" si="2"/>
        <v>16</v>
      </c>
      <c r="C36" s="598" t="s">
        <v>58</v>
      </c>
      <c r="D36" s="599"/>
      <c r="E36" s="599"/>
      <c r="F36" s="599"/>
      <c r="G36" s="600"/>
      <c r="I36" s="301" t="s">
        <v>15</v>
      </c>
      <c r="M36" s="500">
        <v>1.0999999999999999E-2</v>
      </c>
      <c r="N36" s="500">
        <v>0.121</v>
      </c>
      <c r="O36" s="500">
        <v>0.14299999999999999</v>
      </c>
      <c r="P36" s="500">
        <v>7.2999999999999995E-2</v>
      </c>
      <c r="Q36" s="500">
        <v>4.5999999999999999E-2</v>
      </c>
      <c r="R36" s="500">
        <v>3.3000000000000002E-2</v>
      </c>
      <c r="S36" s="500">
        <v>0.03</v>
      </c>
      <c r="T36" s="500">
        <v>0.03</v>
      </c>
      <c r="U36" s="500">
        <v>0.03</v>
      </c>
      <c r="V36" s="500">
        <v>0.03</v>
      </c>
      <c r="W36" s="500">
        <v>0.03</v>
      </c>
      <c r="X36" s="500">
        <v>0.03</v>
      </c>
      <c r="Y36" s="500">
        <v>0.03</v>
      </c>
      <c r="Z36" s="500">
        <v>0.03</v>
      </c>
      <c r="AA36" s="500">
        <v>0.03</v>
      </c>
      <c r="AB36" s="500">
        <v>0.03</v>
      </c>
      <c r="AC36" s="500">
        <v>0.03</v>
      </c>
      <c r="AD36" s="500">
        <v>0.03</v>
      </c>
      <c r="AE36" s="500">
        <v>0.03</v>
      </c>
      <c r="AF36" s="500">
        <v>0.03</v>
      </c>
      <c r="AG36" s="500">
        <v>0.03</v>
      </c>
      <c r="AH36" s="500">
        <v>0.03</v>
      </c>
      <c r="AI36" s="500">
        <v>0.03</v>
      </c>
      <c r="AJ36" s="500">
        <v>0.03</v>
      </c>
      <c r="AK36" s="500">
        <v>0.03</v>
      </c>
      <c r="AL36" s="500">
        <v>0.03</v>
      </c>
      <c r="AM36" s="500">
        <v>0.03</v>
      </c>
      <c r="AN36" s="500">
        <v>0.03</v>
      </c>
      <c r="AO36" s="500">
        <v>0.03</v>
      </c>
      <c r="AP36" s="500">
        <v>0.03</v>
      </c>
      <c r="AQ36" s="500">
        <v>0.03</v>
      </c>
      <c r="AR36" s="500">
        <v>0.03</v>
      </c>
      <c r="AS36" s="500">
        <v>0.03</v>
      </c>
      <c r="AT36" s="500">
        <v>0.03</v>
      </c>
      <c r="AU36" s="500">
        <v>0.03</v>
      </c>
      <c r="AV36" s="500">
        <v>0.03</v>
      </c>
      <c r="AW36" s="500">
        <v>0.03</v>
      </c>
      <c r="AX36" s="500">
        <v>0.03</v>
      </c>
      <c r="AY36" s="500">
        <v>0.03</v>
      </c>
      <c r="AZ36" s="41"/>
    </row>
    <row r="37" spans="1:52" s="43" customFormat="1" x14ac:dyDescent="0.3">
      <c r="A37" s="41"/>
      <c r="B37" s="296">
        <f t="shared" si="2"/>
        <v>17</v>
      </c>
      <c r="C37" s="598" t="s">
        <v>11</v>
      </c>
      <c r="D37" s="599"/>
      <c r="E37" s="599"/>
      <c r="F37" s="599"/>
      <c r="G37" s="600"/>
      <c r="I37" s="308" t="s">
        <v>16</v>
      </c>
      <c r="M37" s="501">
        <v>4.8371000000000004</v>
      </c>
      <c r="N37" s="501">
        <v>4.93</v>
      </c>
      <c r="O37" s="501">
        <v>4.95</v>
      </c>
      <c r="P37" s="501">
        <v>5</v>
      </c>
      <c r="Q37" s="501">
        <v>5.0599999999999996</v>
      </c>
      <c r="R37" s="501">
        <v>5.12</v>
      </c>
      <c r="S37" s="501">
        <v>5.18</v>
      </c>
      <c r="T37" s="501">
        <v>5.2</v>
      </c>
      <c r="U37" s="501">
        <v>5.2</v>
      </c>
      <c r="V37" s="501">
        <v>5.2</v>
      </c>
      <c r="W37" s="501">
        <v>5.2</v>
      </c>
      <c r="X37" s="501">
        <v>5.2</v>
      </c>
      <c r="Y37" s="501">
        <v>5.2</v>
      </c>
      <c r="Z37" s="501">
        <v>5.2</v>
      </c>
      <c r="AA37" s="501">
        <f>Z37</f>
        <v>5.2</v>
      </c>
      <c r="AB37" s="501">
        <f t="shared" ref="AB37:AY37" si="3">AA37</f>
        <v>5.2</v>
      </c>
      <c r="AC37" s="501">
        <f t="shared" si="3"/>
        <v>5.2</v>
      </c>
      <c r="AD37" s="501">
        <f t="shared" si="3"/>
        <v>5.2</v>
      </c>
      <c r="AE37" s="501">
        <f t="shared" si="3"/>
        <v>5.2</v>
      </c>
      <c r="AF37" s="501">
        <f t="shared" si="3"/>
        <v>5.2</v>
      </c>
      <c r="AG37" s="501">
        <f t="shared" si="3"/>
        <v>5.2</v>
      </c>
      <c r="AH37" s="501">
        <f t="shared" si="3"/>
        <v>5.2</v>
      </c>
      <c r="AI37" s="501">
        <f t="shared" si="3"/>
        <v>5.2</v>
      </c>
      <c r="AJ37" s="501">
        <f t="shared" si="3"/>
        <v>5.2</v>
      </c>
      <c r="AK37" s="501">
        <f t="shared" si="3"/>
        <v>5.2</v>
      </c>
      <c r="AL37" s="501">
        <f t="shared" si="3"/>
        <v>5.2</v>
      </c>
      <c r="AM37" s="501">
        <f t="shared" si="3"/>
        <v>5.2</v>
      </c>
      <c r="AN37" s="501">
        <f t="shared" si="3"/>
        <v>5.2</v>
      </c>
      <c r="AO37" s="501">
        <f t="shared" si="3"/>
        <v>5.2</v>
      </c>
      <c r="AP37" s="501">
        <f t="shared" si="3"/>
        <v>5.2</v>
      </c>
      <c r="AQ37" s="501">
        <f t="shared" si="3"/>
        <v>5.2</v>
      </c>
      <c r="AR37" s="501">
        <f t="shared" si="3"/>
        <v>5.2</v>
      </c>
      <c r="AS37" s="501">
        <f t="shared" si="3"/>
        <v>5.2</v>
      </c>
      <c r="AT37" s="501">
        <f t="shared" si="3"/>
        <v>5.2</v>
      </c>
      <c r="AU37" s="501">
        <f t="shared" si="3"/>
        <v>5.2</v>
      </c>
      <c r="AV37" s="501">
        <f t="shared" si="3"/>
        <v>5.2</v>
      </c>
      <c r="AW37" s="501">
        <f t="shared" si="3"/>
        <v>5.2</v>
      </c>
      <c r="AX37" s="501">
        <f t="shared" si="3"/>
        <v>5.2</v>
      </c>
      <c r="AY37" s="501">
        <f t="shared" si="3"/>
        <v>5.2</v>
      </c>
      <c r="AZ37" s="41"/>
    </row>
    <row r="38" spans="1:52" s="43" customFormat="1" x14ac:dyDescent="0.3">
      <c r="A38" s="41"/>
      <c r="B38" s="296"/>
      <c r="C38" s="42"/>
      <c r="D38" s="42"/>
      <c r="E38" s="42"/>
      <c r="F38" s="42"/>
      <c r="G38" s="42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B38" s="38"/>
      <c r="AC38" s="38"/>
      <c r="AZ38" s="41"/>
    </row>
    <row r="39" spans="1:52" s="43" customFormat="1" x14ac:dyDescent="0.3">
      <c r="A39" s="41"/>
      <c r="B39" s="296"/>
      <c r="C39" s="42"/>
      <c r="D39" s="42"/>
      <c r="E39" s="42"/>
      <c r="F39" s="42"/>
      <c r="G39" s="42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B39" s="38"/>
      <c r="AC39" s="38"/>
      <c r="AZ39" s="41"/>
    </row>
    <row r="40" spans="1:52" s="43" customFormat="1" x14ac:dyDescent="0.3">
      <c r="A40" s="41"/>
      <c r="B40" s="296"/>
      <c r="C40" s="614" t="s">
        <v>21</v>
      </c>
      <c r="D40" s="614"/>
      <c r="E40" s="614"/>
      <c r="F40" s="614"/>
      <c r="G40" s="614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B40" s="38"/>
      <c r="AC40" s="38"/>
      <c r="AZ40" s="41"/>
    </row>
    <row r="41" spans="1:52" s="43" customFormat="1" ht="14.25" customHeight="1" x14ac:dyDescent="0.3">
      <c r="A41" s="41"/>
      <c r="B41" s="296">
        <f>B37+1</f>
        <v>18</v>
      </c>
      <c r="C41" s="608" t="s">
        <v>22</v>
      </c>
      <c r="D41" s="608"/>
      <c r="E41" s="608"/>
      <c r="F41" s="608"/>
      <c r="G41" s="608"/>
      <c r="I41" s="301" t="s">
        <v>15</v>
      </c>
      <c r="M41" s="502"/>
      <c r="N41" s="502"/>
      <c r="O41" s="502"/>
      <c r="P41" s="500">
        <v>0</v>
      </c>
      <c r="Q41" s="500">
        <v>0</v>
      </c>
      <c r="R41" s="500">
        <v>0</v>
      </c>
      <c r="S41" s="500">
        <v>0</v>
      </c>
      <c r="T41" s="500">
        <v>0</v>
      </c>
      <c r="U41" s="500">
        <v>0</v>
      </c>
      <c r="V41" s="500">
        <v>0</v>
      </c>
      <c r="W41" s="500">
        <v>0</v>
      </c>
      <c r="X41" s="500">
        <v>0</v>
      </c>
      <c r="Y41" s="500">
        <v>0</v>
      </c>
      <c r="Z41" s="500">
        <v>0</v>
      </c>
      <c r="AA41" s="500">
        <v>0</v>
      </c>
      <c r="AB41" s="500">
        <v>0</v>
      </c>
      <c r="AC41" s="500">
        <v>0</v>
      </c>
      <c r="AD41" s="500">
        <v>0</v>
      </c>
      <c r="AE41" s="500">
        <v>0</v>
      </c>
      <c r="AF41" s="500">
        <v>0</v>
      </c>
      <c r="AG41" s="500">
        <v>0</v>
      </c>
      <c r="AH41" s="500">
        <v>0</v>
      </c>
      <c r="AI41" s="500">
        <v>0</v>
      </c>
      <c r="AJ41" s="500">
        <v>0</v>
      </c>
      <c r="AK41" s="500">
        <v>0</v>
      </c>
      <c r="AL41" s="500">
        <v>0</v>
      </c>
      <c r="AM41" s="500">
        <v>0</v>
      </c>
      <c r="AN41" s="500">
        <v>0</v>
      </c>
      <c r="AO41" s="500">
        <v>0</v>
      </c>
      <c r="AP41" s="500">
        <v>0</v>
      </c>
      <c r="AQ41" s="500">
        <v>0</v>
      </c>
      <c r="AR41" s="500">
        <v>0</v>
      </c>
      <c r="AS41" s="500">
        <v>0</v>
      </c>
      <c r="AT41" s="500">
        <v>0</v>
      </c>
      <c r="AU41" s="500">
        <v>0</v>
      </c>
      <c r="AV41" s="500">
        <v>0</v>
      </c>
      <c r="AW41" s="500">
        <v>0</v>
      </c>
      <c r="AX41" s="500">
        <v>0</v>
      </c>
      <c r="AY41" s="500">
        <v>0</v>
      </c>
      <c r="AZ41" s="41"/>
    </row>
    <row r="42" spans="1:52" s="43" customFormat="1" ht="15" customHeight="1" x14ac:dyDescent="0.3">
      <c r="A42" s="41"/>
      <c r="B42" s="296">
        <f>B41+1</f>
        <v>19</v>
      </c>
      <c r="C42" s="608" t="s">
        <v>23</v>
      </c>
      <c r="D42" s="608"/>
      <c r="E42" s="608"/>
      <c r="F42" s="608"/>
      <c r="G42" s="608"/>
      <c r="I42" s="301" t="s">
        <v>15</v>
      </c>
      <c r="M42" s="502"/>
      <c r="N42" s="502"/>
      <c r="O42" s="502"/>
      <c r="P42" s="500">
        <v>0</v>
      </c>
      <c r="Q42" s="500">
        <v>0</v>
      </c>
      <c r="R42" s="500">
        <v>0</v>
      </c>
      <c r="S42" s="500">
        <v>0</v>
      </c>
      <c r="T42" s="500">
        <v>0</v>
      </c>
      <c r="U42" s="500">
        <v>0</v>
      </c>
      <c r="V42" s="500">
        <v>0</v>
      </c>
      <c r="W42" s="500">
        <v>0</v>
      </c>
      <c r="X42" s="500">
        <v>0</v>
      </c>
      <c r="Y42" s="500">
        <v>0</v>
      </c>
      <c r="Z42" s="500">
        <v>0</v>
      </c>
      <c r="AA42" s="500">
        <v>0</v>
      </c>
      <c r="AB42" s="500">
        <v>0</v>
      </c>
      <c r="AC42" s="500">
        <v>0</v>
      </c>
      <c r="AD42" s="500">
        <v>0</v>
      </c>
      <c r="AE42" s="500">
        <v>0</v>
      </c>
      <c r="AF42" s="500">
        <v>0</v>
      </c>
      <c r="AG42" s="500">
        <v>0</v>
      </c>
      <c r="AH42" s="500">
        <v>0</v>
      </c>
      <c r="AI42" s="500">
        <v>0</v>
      </c>
      <c r="AJ42" s="500">
        <v>0</v>
      </c>
      <c r="AK42" s="500">
        <v>0</v>
      </c>
      <c r="AL42" s="500">
        <v>0</v>
      </c>
      <c r="AM42" s="500">
        <v>0</v>
      </c>
      <c r="AN42" s="500">
        <v>0</v>
      </c>
      <c r="AO42" s="500">
        <v>0</v>
      </c>
      <c r="AP42" s="500">
        <v>0</v>
      </c>
      <c r="AQ42" s="500">
        <v>0</v>
      </c>
      <c r="AR42" s="500">
        <v>0</v>
      </c>
      <c r="AS42" s="500">
        <v>0</v>
      </c>
      <c r="AT42" s="500">
        <v>0</v>
      </c>
      <c r="AU42" s="500">
        <v>0</v>
      </c>
      <c r="AV42" s="500">
        <v>0</v>
      </c>
      <c r="AW42" s="500">
        <v>0</v>
      </c>
      <c r="AX42" s="500">
        <v>0</v>
      </c>
      <c r="AY42" s="500">
        <v>0</v>
      </c>
      <c r="AZ42" s="41"/>
    </row>
    <row r="43" spans="1:52" s="43" customFormat="1" ht="14.25" customHeight="1" x14ac:dyDescent="0.3">
      <c r="A43" s="41"/>
      <c r="B43" s="296">
        <f t="shared" ref="B43:B44" si="4">B42+1</f>
        <v>20</v>
      </c>
      <c r="C43" s="608" t="s">
        <v>24</v>
      </c>
      <c r="D43" s="608"/>
      <c r="E43" s="608"/>
      <c r="F43" s="608"/>
      <c r="G43" s="608"/>
      <c r="I43" s="301" t="s">
        <v>15</v>
      </c>
      <c r="M43" s="502"/>
      <c r="N43" s="502"/>
      <c r="O43" s="502"/>
      <c r="P43" s="500">
        <v>0</v>
      </c>
      <c r="Q43" s="500">
        <v>0</v>
      </c>
      <c r="R43" s="500">
        <v>0</v>
      </c>
      <c r="S43" s="500">
        <v>0</v>
      </c>
      <c r="T43" s="500">
        <v>0</v>
      </c>
      <c r="U43" s="500">
        <v>0</v>
      </c>
      <c r="V43" s="500">
        <v>0</v>
      </c>
      <c r="W43" s="500">
        <v>0</v>
      </c>
      <c r="X43" s="500">
        <v>0</v>
      </c>
      <c r="Y43" s="500">
        <v>0</v>
      </c>
      <c r="Z43" s="500">
        <v>0</v>
      </c>
      <c r="AA43" s="500">
        <v>0</v>
      </c>
      <c r="AB43" s="500">
        <v>0</v>
      </c>
      <c r="AC43" s="500">
        <v>0</v>
      </c>
      <c r="AD43" s="500">
        <v>0</v>
      </c>
      <c r="AE43" s="500">
        <v>0</v>
      </c>
      <c r="AF43" s="500">
        <v>0</v>
      </c>
      <c r="AG43" s="500">
        <v>0</v>
      </c>
      <c r="AH43" s="500">
        <v>0</v>
      </c>
      <c r="AI43" s="500">
        <v>0</v>
      </c>
      <c r="AJ43" s="500">
        <v>0</v>
      </c>
      <c r="AK43" s="500">
        <v>0</v>
      </c>
      <c r="AL43" s="500">
        <v>0</v>
      </c>
      <c r="AM43" s="500">
        <v>0</v>
      </c>
      <c r="AN43" s="500">
        <v>0</v>
      </c>
      <c r="AO43" s="500">
        <v>0</v>
      </c>
      <c r="AP43" s="500">
        <v>0</v>
      </c>
      <c r="AQ43" s="500">
        <v>0</v>
      </c>
      <c r="AR43" s="500">
        <v>0</v>
      </c>
      <c r="AS43" s="500">
        <v>0</v>
      </c>
      <c r="AT43" s="500">
        <v>0</v>
      </c>
      <c r="AU43" s="500">
        <v>0</v>
      </c>
      <c r="AV43" s="500">
        <v>0</v>
      </c>
      <c r="AW43" s="500">
        <v>0</v>
      </c>
      <c r="AX43" s="500">
        <v>0</v>
      </c>
      <c r="AY43" s="500">
        <v>0</v>
      </c>
      <c r="AZ43" s="41"/>
    </row>
    <row r="44" spans="1:52" s="43" customFormat="1" ht="14.25" customHeight="1" x14ac:dyDescent="0.3">
      <c r="A44" s="41"/>
      <c r="B44" s="296">
        <f t="shared" si="4"/>
        <v>21</v>
      </c>
      <c r="C44" s="608" t="s">
        <v>25</v>
      </c>
      <c r="D44" s="608"/>
      <c r="E44" s="608"/>
      <c r="F44" s="608"/>
      <c r="G44" s="608"/>
      <c r="I44" s="301" t="s">
        <v>15</v>
      </c>
      <c r="M44" s="502"/>
      <c r="N44" s="502"/>
      <c r="O44" s="502"/>
      <c r="P44" s="500">
        <v>0</v>
      </c>
      <c r="Q44" s="500">
        <v>0</v>
      </c>
      <c r="R44" s="500">
        <v>0</v>
      </c>
      <c r="S44" s="500">
        <v>0</v>
      </c>
      <c r="T44" s="500">
        <v>0</v>
      </c>
      <c r="U44" s="500">
        <v>0</v>
      </c>
      <c r="V44" s="500">
        <v>0</v>
      </c>
      <c r="W44" s="500">
        <v>0</v>
      </c>
      <c r="X44" s="500">
        <v>0</v>
      </c>
      <c r="Y44" s="500">
        <v>0</v>
      </c>
      <c r="Z44" s="500">
        <v>0</v>
      </c>
      <c r="AA44" s="500">
        <v>0</v>
      </c>
      <c r="AB44" s="500">
        <v>0</v>
      </c>
      <c r="AC44" s="500">
        <v>0</v>
      </c>
      <c r="AD44" s="500">
        <v>0</v>
      </c>
      <c r="AE44" s="500">
        <v>0</v>
      </c>
      <c r="AF44" s="500">
        <v>0</v>
      </c>
      <c r="AG44" s="500">
        <v>0</v>
      </c>
      <c r="AH44" s="500">
        <v>0</v>
      </c>
      <c r="AI44" s="500">
        <v>0</v>
      </c>
      <c r="AJ44" s="500">
        <v>0</v>
      </c>
      <c r="AK44" s="500">
        <v>0</v>
      </c>
      <c r="AL44" s="500">
        <v>0</v>
      </c>
      <c r="AM44" s="500">
        <v>0</v>
      </c>
      <c r="AN44" s="500">
        <v>0</v>
      </c>
      <c r="AO44" s="500">
        <v>0</v>
      </c>
      <c r="AP44" s="500">
        <v>0</v>
      </c>
      <c r="AQ44" s="500">
        <v>0</v>
      </c>
      <c r="AR44" s="500">
        <v>0</v>
      </c>
      <c r="AS44" s="500">
        <v>0</v>
      </c>
      <c r="AT44" s="500">
        <v>0</v>
      </c>
      <c r="AU44" s="500">
        <v>0</v>
      </c>
      <c r="AV44" s="500">
        <v>0</v>
      </c>
      <c r="AW44" s="500">
        <v>0</v>
      </c>
      <c r="AX44" s="500">
        <v>0</v>
      </c>
      <c r="AY44" s="500">
        <v>0</v>
      </c>
      <c r="AZ44" s="41"/>
    </row>
    <row r="45" spans="1:52" s="43" customFormat="1" x14ac:dyDescent="0.3">
      <c r="A45" s="41"/>
      <c r="B45" s="296"/>
      <c r="C45" s="42"/>
      <c r="D45" s="42"/>
      <c r="E45" s="42"/>
      <c r="F45" s="42"/>
      <c r="G45" s="42"/>
      <c r="I45" s="302"/>
      <c r="AB45" s="38"/>
      <c r="AC45" s="38"/>
      <c r="AZ45" s="41"/>
    </row>
    <row r="46" spans="1:52" s="43" customFormat="1" ht="17.25" thickBot="1" x14ac:dyDescent="0.3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1:52" s="43" customFormat="1" ht="15" customHeight="1" thickBot="1" x14ac:dyDescent="0.35">
      <c r="A47" s="41"/>
      <c r="B47" s="41"/>
      <c r="C47" s="615" t="s">
        <v>26</v>
      </c>
      <c r="D47" s="616"/>
      <c r="E47" s="616"/>
      <c r="F47" s="616"/>
      <c r="G47" s="616"/>
      <c r="H47" s="617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1:52" s="43" customFormat="1" x14ac:dyDescent="0.3">
      <c r="A48" s="41"/>
      <c r="B48" s="296"/>
      <c r="C48" s="42"/>
      <c r="D48" s="42"/>
      <c r="E48" s="42"/>
      <c r="F48" s="42"/>
      <c r="G48" s="42"/>
      <c r="AB48" s="38"/>
      <c r="AC48" s="38"/>
      <c r="AZ48" s="41"/>
    </row>
    <row r="49" spans="1:52" s="43" customFormat="1" ht="18.75" customHeight="1" x14ac:dyDescent="0.3">
      <c r="A49" s="41"/>
      <c r="B49" s="300">
        <f>B44+1</f>
        <v>22</v>
      </c>
      <c r="C49" s="598" t="s">
        <v>27</v>
      </c>
      <c r="D49" s="599"/>
      <c r="E49" s="599"/>
      <c r="F49" s="599"/>
      <c r="G49" s="600"/>
      <c r="I49" s="308" t="s">
        <v>124</v>
      </c>
      <c r="M49" s="503">
        <v>3620.18</v>
      </c>
      <c r="N49" s="503">
        <v>4491.2</v>
      </c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304"/>
      <c r="AB49" s="309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41"/>
    </row>
    <row r="50" spans="1:52" s="43" customFormat="1" ht="24" customHeight="1" x14ac:dyDescent="0.3">
      <c r="A50" s="41"/>
      <c r="B50" s="300">
        <f>B49+1</f>
        <v>23</v>
      </c>
      <c r="C50" s="598" t="s">
        <v>29</v>
      </c>
      <c r="D50" s="599"/>
      <c r="E50" s="599"/>
      <c r="F50" s="599"/>
      <c r="G50" s="600"/>
      <c r="I50" s="308" t="s">
        <v>28</v>
      </c>
      <c r="M50" s="503">
        <v>5213</v>
      </c>
      <c r="N50" s="503">
        <v>6126</v>
      </c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304"/>
      <c r="AB50" s="309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41"/>
    </row>
    <row r="51" spans="1:52" s="43" customFormat="1" ht="26.25" customHeight="1" x14ac:dyDescent="0.3">
      <c r="A51" s="41"/>
      <c r="B51" s="300">
        <f t="shared" ref="B51:B52" si="5">B50+1</f>
        <v>24</v>
      </c>
      <c r="C51" s="598" t="s">
        <v>123</v>
      </c>
      <c r="D51" s="599"/>
      <c r="E51" s="599"/>
      <c r="F51" s="599"/>
      <c r="G51" s="600"/>
      <c r="I51" s="308" t="s">
        <v>28</v>
      </c>
      <c r="M51" s="505">
        <v>4297</v>
      </c>
      <c r="N51" s="505">
        <v>4904</v>
      </c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304"/>
      <c r="AB51" s="309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41"/>
    </row>
    <row r="52" spans="1:52" s="43" customFormat="1" ht="25.5" customHeight="1" x14ac:dyDescent="0.3">
      <c r="A52" s="41"/>
      <c r="B52" s="300">
        <f t="shared" si="5"/>
        <v>25</v>
      </c>
      <c r="C52" s="598" t="s">
        <v>30</v>
      </c>
      <c r="D52" s="599"/>
      <c r="E52" s="599"/>
      <c r="F52" s="599"/>
      <c r="G52" s="600"/>
      <c r="I52" s="308" t="s">
        <v>124</v>
      </c>
      <c r="M52" s="503">
        <f>M49*M51/M50</f>
        <v>2984.0616650680986</v>
      </c>
      <c r="N52" s="503">
        <f>N49*N51/N50</f>
        <v>3595.3060398302318</v>
      </c>
      <c r="O52" s="503">
        <f>N52*(1+O34)</f>
        <v>3667.2121606268365</v>
      </c>
      <c r="P52" s="503">
        <f t="shared" ref="P52:Z52" si="6">O52*(1+P34)</f>
        <v>3791.8973740881493</v>
      </c>
      <c r="Q52" s="503">
        <f t="shared" si="6"/>
        <v>3951.1570637998516</v>
      </c>
      <c r="R52" s="503">
        <f t="shared" si="6"/>
        <v>4132.9102887346453</v>
      </c>
      <c r="S52" s="503">
        <f t="shared" si="6"/>
        <v>4302.3596105727656</v>
      </c>
      <c r="T52" s="503">
        <f t="shared" si="6"/>
        <v>4452.9421969428122</v>
      </c>
      <c r="U52" s="503">
        <f t="shared" si="6"/>
        <v>4586.5304628510967</v>
      </c>
      <c r="V52" s="503">
        <f t="shared" si="6"/>
        <v>4724.1263767366299</v>
      </c>
      <c r="W52" s="503">
        <f t="shared" si="6"/>
        <v>4865.850168038729</v>
      </c>
      <c r="X52" s="503">
        <f t="shared" si="6"/>
        <v>5011.8256730798912</v>
      </c>
      <c r="Y52" s="503">
        <f t="shared" si="6"/>
        <v>5162.1804432722884</v>
      </c>
      <c r="Z52" s="503">
        <f t="shared" si="6"/>
        <v>5317.0458565704575</v>
      </c>
      <c r="AA52" s="503">
        <f t="shared" ref="AA52" si="7">Z52*(1+AA34)</f>
        <v>5476.5572322675716</v>
      </c>
      <c r="AB52" s="503">
        <f t="shared" ref="AB52" si="8">AA52*(1+AB34)</f>
        <v>5640.8539492355985</v>
      </c>
      <c r="AC52" s="503">
        <f t="shared" ref="AC52" si="9">AB52*(1+AC34)</f>
        <v>5810.0795677126662</v>
      </c>
      <c r="AD52" s="503">
        <f t="shared" ref="AD52" si="10">AC52*(1+AD34)</f>
        <v>5984.3819547440462</v>
      </c>
      <c r="AE52" s="503">
        <f t="shared" ref="AE52" si="11">AD52*(1+AE34)</f>
        <v>6163.9134133863681</v>
      </c>
      <c r="AF52" s="503">
        <f t="shared" ref="AF52" si="12">AE52*(1+AF34)</f>
        <v>6348.8308157879592</v>
      </c>
      <c r="AG52" s="503">
        <f t="shared" ref="AG52" si="13">AF52*(1+AG34)</f>
        <v>6539.2957402615984</v>
      </c>
      <c r="AH52" s="503">
        <f t="shared" ref="AH52" si="14">AG52*(1+AH34)</f>
        <v>6735.4746124694466</v>
      </c>
      <c r="AI52" s="503">
        <f t="shared" ref="AI52" si="15">AH52*(1+AI34)</f>
        <v>6937.5388508435299</v>
      </c>
      <c r="AJ52" s="503">
        <f t="shared" ref="AJ52" si="16">AI52*(1+AJ34)</f>
        <v>7145.6650163688364</v>
      </c>
      <c r="AK52" s="503">
        <f t="shared" ref="AK52" si="17">AJ52*(1+AK34)</f>
        <v>7360.0349668599019</v>
      </c>
      <c r="AL52" s="503">
        <f t="shared" ref="AL52" si="18">AK52*(1+AL34)</f>
        <v>7580.8360158656988</v>
      </c>
      <c r="AM52" s="503">
        <f t="shared" ref="AM52" si="19">AL52*(1+AM34)</f>
        <v>7808.2610963416701</v>
      </c>
      <c r="AN52" s="503">
        <f t="shared" ref="AN52" si="20">AM52*(1+AN34)</f>
        <v>8042.5089292319208</v>
      </c>
      <c r="AO52" s="503">
        <f t="shared" ref="AO52" si="21">AN52*(1+AO34)</f>
        <v>8283.7841971088783</v>
      </c>
      <c r="AP52" s="503">
        <f t="shared" ref="AP52" si="22">AO52*(1+AP34)</f>
        <v>8532.2977230221441</v>
      </c>
      <c r="AQ52" s="503">
        <f t="shared" ref="AQ52" si="23">AP52*(1+AQ34)</f>
        <v>8788.2666547128083</v>
      </c>
      <c r="AR52" s="503">
        <f t="shared" ref="AR52" si="24">AQ52*(1+AR34)</f>
        <v>9051.914654354192</v>
      </c>
      <c r="AS52" s="503">
        <f t="shared" ref="AS52" si="25">AR52*(1+AS34)</f>
        <v>9323.4720939848175</v>
      </c>
      <c r="AT52" s="503">
        <f t="shared" ref="AT52" si="26">AS52*(1+AT34)</f>
        <v>9603.1762568043632</v>
      </c>
      <c r="AU52" s="503">
        <f t="shared" ref="AU52" si="27">AT52*(1+AU34)</f>
        <v>9891.2715445084941</v>
      </c>
      <c r="AV52" s="503">
        <f t="shared" ref="AV52" si="28">AU52*(1+AV34)</f>
        <v>10188.00969084375</v>
      </c>
      <c r="AW52" s="503">
        <f t="shared" ref="AW52" si="29">AV52*(1+AW34)</f>
        <v>10493.649981569062</v>
      </c>
      <c r="AX52" s="503">
        <f t="shared" ref="AX52" si="30">AW52*(1+AX34)</f>
        <v>10808.459481016134</v>
      </c>
      <c r="AY52" s="503">
        <f t="shared" ref="AY52" si="31">AX52*(1+AY34)</f>
        <v>11132.713265446619</v>
      </c>
      <c r="AZ52" s="41"/>
    </row>
    <row r="53" spans="1:52" s="43" customFormat="1" x14ac:dyDescent="0.3">
      <c r="A53" s="41"/>
      <c r="B53" s="296"/>
      <c r="AB53" s="38"/>
      <c r="AZ53" s="41"/>
    </row>
    <row r="54" spans="1:52" s="43" customFormat="1" ht="17.25" thickBot="1" x14ac:dyDescent="0.3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1:52" s="43" customFormat="1" ht="15.75" customHeight="1" thickBot="1" x14ac:dyDescent="0.35">
      <c r="A55" s="41"/>
      <c r="B55" s="41"/>
      <c r="C55" s="615" t="s">
        <v>31</v>
      </c>
      <c r="D55" s="616"/>
      <c r="E55" s="616"/>
      <c r="F55" s="616"/>
      <c r="G55" s="616"/>
      <c r="H55" s="617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1:52" s="43" customFormat="1" ht="17.25" thickBot="1" x14ac:dyDescent="0.35">
      <c r="A56" s="41"/>
      <c r="B56" s="296"/>
      <c r="AB56" s="38"/>
      <c r="AZ56" s="41"/>
    </row>
    <row r="57" spans="1:52" s="43" customFormat="1" ht="17.25" thickBot="1" x14ac:dyDescent="0.35">
      <c r="A57" s="41"/>
      <c r="B57" s="296"/>
      <c r="C57" s="609" t="s">
        <v>131</v>
      </c>
      <c r="D57" s="610"/>
      <c r="E57" s="610"/>
      <c r="F57" s="610"/>
      <c r="G57" s="611"/>
      <c r="AB57" s="38"/>
      <c r="AZ57" s="41"/>
    </row>
    <row r="58" spans="1:52" s="43" customFormat="1" x14ac:dyDescent="0.3">
      <c r="A58" s="41"/>
      <c r="B58" s="300">
        <f>B52+1</f>
        <v>26</v>
      </c>
      <c r="C58" s="618" t="s">
        <v>672</v>
      </c>
      <c r="D58" s="618"/>
      <c r="E58" s="618"/>
      <c r="F58" s="618"/>
      <c r="G58" s="618"/>
      <c r="I58" s="308" t="s">
        <v>130</v>
      </c>
      <c r="K58" s="494">
        <v>56.2</v>
      </c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7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W58" s="506"/>
      <c r="AX58" s="506"/>
      <c r="AY58" s="506"/>
      <c r="AZ58" s="41"/>
    </row>
    <row r="59" spans="1:52" s="43" customFormat="1" ht="17.25" thickBot="1" x14ac:dyDescent="0.35">
      <c r="A59" s="41"/>
      <c r="B59" s="300"/>
      <c r="C59" s="599"/>
      <c r="D59" s="599"/>
      <c r="E59" s="599"/>
      <c r="F59" s="599"/>
      <c r="G59" s="599"/>
      <c r="I59" s="508"/>
      <c r="K59" s="509"/>
      <c r="AB59" s="38"/>
      <c r="AZ59" s="41"/>
    </row>
    <row r="60" spans="1:52" s="43" customFormat="1" ht="17.25" customHeight="1" thickBot="1" x14ac:dyDescent="0.35">
      <c r="A60" s="41"/>
      <c r="B60" s="300"/>
      <c r="C60" s="609" t="s">
        <v>132</v>
      </c>
      <c r="D60" s="610"/>
      <c r="E60" s="610"/>
      <c r="F60" s="610"/>
      <c r="G60" s="611"/>
      <c r="I60" s="305"/>
      <c r="K60" s="305"/>
      <c r="AB60" s="38"/>
      <c r="AZ60" s="41"/>
    </row>
    <row r="61" spans="1:52" s="43" customFormat="1" x14ac:dyDescent="0.3">
      <c r="A61" s="41"/>
      <c r="B61" s="300">
        <f>B58+1</f>
        <v>27</v>
      </c>
      <c r="C61" s="608" t="s">
        <v>133</v>
      </c>
      <c r="D61" s="608"/>
      <c r="E61" s="608"/>
      <c r="F61" s="608"/>
      <c r="G61" s="608"/>
      <c r="I61" s="510"/>
      <c r="K61" s="494">
        <v>1.163</v>
      </c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506"/>
      <c r="Z61" s="506"/>
      <c r="AA61" s="506"/>
      <c r="AB61" s="507"/>
      <c r="AC61" s="506"/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506"/>
      <c r="AR61" s="506"/>
      <c r="AS61" s="506"/>
      <c r="AT61" s="506"/>
      <c r="AU61" s="506"/>
      <c r="AV61" s="506"/>
      <c r="AW61" s="506"/>
      <c r="AX61" s="506"/>
      <c r="AY61" s="506"/>
      <c r="AZ61" s="41"/>
    </row>
    <row r="62" spans="1:52" s="43" customFormat="1" x14ac:dyDescent="0.3">
      <c r="A62" s="41"/>
      <c r="B62" s="300">
        <f t="shared" ref="B62:B84" si="32">B61+1</f>
        <v>28</v>
      </c>
      <c r="C62" s="608" t="s">
        <v>134</v>
      </c>
      <c r="D62" s="608"/>
      <c r="E62" s="608"/>
      <c r="F62" s="608"/>
      <c r="G62" s="608"/>
      <c r="I62" s="510"/>
      <c r="K62" s="494">
        <v>28.1</v>
      </c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7"/>
      <c r="AC62" s="506"/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06"/>
      <c r="AQ62" s="506"/>
      <c r="AR62" s="506"/>
      <c r="AS62" s="506"/>
      <c r="AT62" s="506"/>
      <c r="AU62" s="506"/>
      <c r="AV62" s="506"/>
      <c r="AW62" s="506"/>
      <c r="AX62" s="506"/>
      <c r="AY62" s="506"/>
      <c r="AZ62" s="41"/>
    </row>
    <row r="63" spans="1:52" s="43" customFormat="1" x14ac:dyDescent="0.3">
      <c r="A63" s="41"/>
      <c r="B63" s="300">
        <f t="shared" si="32"/>
        <v>29</v>
      </c>
      <c r="C63" s="608" t="s">
        <v>135</v>
      </c>
      <c r="D63" s="608"/>
      <c r="E63" s="608"/>
      <c r="F63" s="608"/>
      <c r="G63" s="608"/>
      <c r="I63" s="510"/>
      <c r="K63" s="494">
        <v>4.1867999999999999</v>
      </c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7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6"/>
      <c r="AT63" s="506"/>
      <c r="AU63" s="506"/>
      <c r="AV63" s="506"/>
      <c r="AW63" s="506"/>
      <c r="AX63" s="506"/>
      <c r="AY63" s="506"/>
      <c r="AZ63" s="41"/>
    </row>
    <row r="64" spans="1:52" s="43" customFormat="1" x14ac:dyDescent="0.3">
      <c r="A64" s="41"/>
      <c r="B64" s="300">
        <f t="shared" si="32"/>
        <v>30</v>
      </c>
      <c r="C64" s="608" t="s">
        <v>136</v>
      </c>
      <c r="D64" s="608"/>
      <c r="E64" s="608"/>
      <c r="F64" s="608"/>
      <c r="G64" s="608"/>
      <c r="I64" s="510"/>
      <c r="K64" s="494">
        <v>3.6</v>
      </c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7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W64" s="506"/>
      <c r="AX64" s="506"/>
      <c r="AY64" s="506"/>
      <c r="AZ64" s="41"/>
    </row>
    <row r="65" spans="1:52" s="43" customFormat="1" x14ac:dyDescent="0.3">
      <c r="A65" s="41"/>
      <c r="B65" s="300">
        <f t="shared" si="32"/>
        <v>31</v>
      </c>
      <c r="C65" s="608" t="s">
        <v>139</v>
      </c>
      <c r="D65" s="608"/>
      <c r="E65" s="608"/>
      <c r="F65" s="608"/>
      <c r="G65" s="608"/>
      <c r="I65" s="510"/>
      <c r="K65" s="501">
        <v>0.29307107017222001</v>
      </c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7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W65" s="506"/>
      <c r="AX65" s="506"/>
      <c r="AY65" s="506"/>
      <c r="AZ65" s="41"/>
    </row>
    <row r="66" spans="1:52" s="43" customFormat="1" x14ac:dyDescent="0.3">
      <c r="A66" s="41"/>
      <c r="B66" s="300">
        <f t="shared" si="32"/>
        <v>32</v>
      </c>
      <c r="C66" s="608" t="s">
        <v>141</v>
      </c>
      <c r="D66" s="608"/>
      <c r="E66" s="608"/>
      <c r="F66" s="608"/>
      <c r="G66" s="608"/>
      <c r="I66" s="510"/>
      <c r="K66" s="511">
        <v>0.91900000000000004</v>
      </c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7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W66" s="506"/>
      <c r="AX66" s="506"/>
      <c r="AY66" s="506"/>
      <c r="AZ66" s="41"/>
    </row>
    <row r="67" spans="1:52" s="43" customFormat="1" ht="17.25" thickBot="1" x14ac:dyDescent="0.35">
      <c r="A67" s="41"/>
      <c r="B67" s="300"/>
      <c r="C67" s="599"/>
      <c r="D67" s="599"/>
      <c r="E67" s="599"/>
      <c r="F67" s="599"/>
      <c r="G67" s="599"/>
      <c r="I67" s="305"/>
      <c r="K67" s="508"/>
      <c r="AB67" s="38"/>
      <c r="AZ67" s="41"/>
    </row>
    <row r="68" spans="1:52" s="43" customFormat="1" ht="17.25" thickBot="1" x14ac:dyDescent="0.35">
      <c r="A68" s="41"/>
      <c r="B68" s="300"/>
      <c r="C68" s="609" t="s">
        <v>137</v>
      </c>
      <c r="D68" s="610"/>
      <c r="E68" s="610"/>
      <c r="F68" s="610"/>
      <c r="G68" s="611"/>
      <c r="I68" s="512"/>
      <c r="K68" s="305"/>
      <c r="AB68" s="38"/>
      <c r="AZ68" s="41"/>
    </row>
    <row r="69" spans="1:52" s="43" customFormat="1" ht="16.5" customHeight="1" x14ac:dyDescent="0.3">
      <c r="A69" s="41"/>
      <c r="B69" s="612">
        <f>B64+1</f>
        <v>31</v>
      </c>
      <c r="C69" s="619" t="s">
        <v>527</v>
      </c>
      <c r="D69" s="620"/>
      <c r="E69" s="620"/>
      <c r="F69" s="620"/>
      <c r="G69" s="621"/>
      <c r="I69" s="308" t="s">
        <v>138</v>
      </c>
      <c r="K69" s="513"/>
      <c r="N69" s="506"/>
      <c r="O69" s="494">
        <v>13.11</v>
      </c>
      <c r="P69" s="494">
        <v>12.5</v>
      </c>
      <c r="Q69" s="494">
        <v>13</v>
      </c>
      <c r="R69" s="503">
        <f>Q69+($W$69-$Q$69)/($W$4-$Q$4)</f>
        <v>12.083333333333334</v>
      </c>
      <c r="S69" s="503">
        <f>R69+($W$69-$Q$69)/($W$4-$Q$4)</f>
        <v>11.166666666666668</v>
      </c>
      <c r="T69" s="503">
        <f>S69+($W$69-$Q$69)/($W$4-$Q$4)</f>
        <v>10.250000000000002</v>
      </c>
      <c r="U69" s="503">
        <f>T69+($W$69-$Q$69)/($W$4-$Q$4)</f>
        <v>9.3333333333333357</v>
      </c>
      <c r="V69" s="503">
        <f>U69+($W$69-$Q$69)/($W$4-$Q$4)</f>
        <v>8.4166666666666696</v>
      </c>
      <c r="W69" s="494">
        <v>7.5</v>
      </c>
      <c r="X69" s="308">
        <f>W69+($AB$69-$W$69)/($AB$4-$W$4)</f>
        <v>7.3</v>
      </c>
      <c r="Y69" s="308">
        <f>X69+($AB$69-$W$69)/($AB$4-$W$4)</f>
        <v>7.1</v>
      </c>
      <c r="Z69" s="308">
        <f>Y69+($AB$69-$W$69)/($AB$4-$W$4)</f>
        <v>6.8999999999999995</v>
      </c>
      <c r="AA69" s="308">
        <f>Z69+($AB$69-$W$69)/($AB$4-$W$4)</f>
        <v>6.6999999999999993</v>
      </c>
      <c r="AB69" s="494">
        <v>6.5</v>
      </c>
      <c r="AC69" s="308">
        <f>AB69</f>
        <v>6.5</v>
      </c>
      <c r="AD69" s="308">
        <f t="shared" ref="AD69:AY69" si="33">AC69</f>
        <v>6.5</v>
      </c>
      <c r="AE69" s="308">
        <f t="shared" ref="AE69" si="34">AD69</f>
        <v>6.5</v>
      </c>
      <c r="AF69" s="308">
        <f t="shared" ref="AF69" si="35">AE69</f>
        <v>6.5</v>
      </c>
      <c r="AG69" s="308">
        <f t="shared" ref="AG69" si="36">AF69</f>
        <v>6.5</v>
      </c>
      <c r="AH69" s="308">
        <f t="shared" ref="AH69" si="37">AG69</f>
        <v>6.5</v>
      </c>
      <c r="AI69" s="308">
        <f t="shared" ref="AI69" si="38">AH69</f>
        <v>6.5</v>
      </c>
      <c r="AJ69" s="308">
        <f t="shared" ref="AJ69" si="39">AI69</f>
        <v>6.5</v>
      </c>
      <c r="AK69" s="308">
        <f t="shared" ref="AK69" si="40">AJ69</f>
        <v>6.5</v>
      </c>
      <c r="AL69" s="308">
        <f t="shared" si="33"/>
        <v>6.5</v>
      </c>
      <c r="AM69" s="308">
        <f t="shared" si="33"/>
        <v>6.5</v>
      </c>
      <c r="AN69" s="308">
        <f t="shared" si="33"/>
        <v>6.5</v>
      </c>
      <c r="AO69" s="308">
        <f t="shared" si="33"/>
        <v>6.5</v>
      </c>
      <c r="AP69" s="308">
        <f t="shared" si="33"/>
        <v>6.5</v>
      </c>
      <c r="AQ69" s="308">
        <f t="shared" si="33"/>
        <v>6.5</v>
      </c>
      <c r="AR69" s="308">
        <f t="shared" si="33"/>
        <v>6.5</v>
      </c>
      <c r="AS69" s="308">
        <f t="shared" si="33"/>
        <v>6.5</v>
      </c>
      <c r="AT69" s="308">
        <f t="shared" si="33"/>
        <v>6.5</v>
      </c>
      <c r="AU69" s="308">
        <f t="shared" si="33"/>
        <v>6.5</v>
      </c>
      <c r="AV69" s="308">
        <f t="shared" si="33"/>
        <v>6.5</v>
      </c>
      <c r="AW69" s="308">
        <f t="shared" si="33"/>
        <v>6.5</v>
      </c>
      <c r="AX69" s="308">
        <f t="shared" si="33"/>
        <v>6.5</v>
      </c>
      <c r="AY69" s="308">
        <f t="shared" si="33"/>
        <v>6.5</v>
      </c>
      <c r="AZ69" s="41"/>
    </row>
    <row r="70" spans="1:52" s="43" customFormat="1" ht="21" customHeight="1" x14ac:dyDescent="0.3">
      <c r="A70" s="41"/>
      <c r="B70" s="612"/>
      <c r="C70" s="605"/>
      <c r="D70" s="606"/>
      <c r="E70" s="606"/>
      <c r="F70" s="606"/>
      <c r="G70" s="607"/>
      <c r="I70" s="308" t="s">
        <v>140</v>
      </c>
      <c r="K70" s="513"/>
      <c r="N70" s="506"/>
      <c r="O70" s="514">
        <f>O69/$K$65*$K$66</f>
        <v>41.109789488672739</v>
      </c>
      <c r="P70" s="514">
        <f t="shared" ref="P70:AY70" si="41">P69/$K$65*$K$66</f>
        <v>39.196977010557532</v>
      </c>
      <c r="Q70" s="514">
        <f t="shared" si="41"/>
        <v>40.764856090979833</v>
      </c>
      <c r="R70" s="514">
        <f t="shared" si="41"/>
        <v>37.890411110205612</v>
      </c>
      <c r="S70" s="514">
        <f t="shared" si="41"/>
        <v>35.015966129431398</v>
      </c>
      <c r="T70" s="514">
        <f t="shared" si="41"/>
        <v>32.141521148657176</v>
      </c>
      <c r="U70" s="514">
        <f t="shared" si="41"/>
        <v>29.267076167882962</v>
      </c>
      <c r="V70" s="514">
        <f t="shared" si="41"/>
        <v>26.392631187108744</v>
      </c>
      <c r="W70" s="514">
        <f t="shared" si="41"/>
        <v>23.518186206334516</v>
      </c>
      <c r="X70" s="514">
        <f t="shared" si="41"/>
        <v>22.891034574165598</v>
      </c>
      <c r="Y70" s="514">
        <f t="shared" si="41"/>
        <v>22.263882941996677</v>
      </c>
      <c r="Z70" s="514">
        <f t="shared" si="41"/>
        <v>21.636731309827756</v>
      </c>
      <c r="AA70" s="514">
        <f t="shared" si="41"/>
        <v>21.009579677658834</v>
      </c>
      <c r="AB70" s="514">
        <f t="shared" si="41"/>
        <v>20.382428045489917</v>
      </c>
      <c r="AC70" s="514">
        <f t="shared" si="41"/>
        <v>20.382428045489917</v>
      </c>
      <c r="AD70" s="514">
        <f t="shared" si="41"/>
        <v>20.382428045489917</v>
      </c>
      <c r="AE70" s="514">
        <f t="shared" si="41"/>
        <v>20.382428045489917</v>
      </c>
      <c r="AF70" s="514">
        <f t="shared" si="41"/>
        <v>20.382428045489917</v>
      </c>
      <c r="AG70" s="514">
        <f t="shared" si="41"/>
        <v>20.382428045489917</v>
      </c>
      <c r="AH70" s="514">
        <f t="shared" si="41"/>
        <v>20.382428045489917</v>
      </c>
      <c r="AI70" s="514">
        <f t="shared" si="41"/>
        <v>20.382428045489917</v>
      </c>
      <c r="AJ70" s="514">
        <f t="shared" si="41"/>
        <v>20.382428045489917</v>
      </c>
      <c r="AK70" s="514">
        <f t="shared" si="41"/>
        <v>20.382428045489917</v>
      </c>
      <c r="AL70" s="514">
        <f t="shared" si="41"/>
        <v>20.382428045489917</v>
      </c>
      <c r="AM70" s="514">
        <f t="shared" si="41"/>
        <v>20.382428045489917</v>
      </c>
      <c r="AN70" s="514">
        <f t="shared" si="41"/>
        <v>20.382428045489917</v>
      </c>
      <c r="AO70" s="514">
        <f t="shared" si="41"/>
        <v>20.382428045489917</v>
      </c>
      <c r="AP70" s="514">
        <f t="shared" si="41"/>
        <v>20.382428045489917</v>
      </c>
      <c r="AQ70" s="514">
        <f t="shared" si="41"/>
        <v>20.382428045489917</v>
      </c>
      <c r="AR70" s="514">
        <f t="shared" si="41"/>
        <v>20.382428045489917</v>
      </c>
      <c r="AS70" s="514">
        <f t="shared" si="41"/>
        <v>20.382428045489917</v>
      </c>
      <c r="AT70" s="514">
        <f t="shared" si="41"/>
        <v>20.382428045489917</v>
      </c>
      <c r="AU70" s="514">
        <f t="shared" si="41"/>
        <v>20.382428045489917</v>
      </c>
      <c r="AV70" s="514">
        <f t="shared" si="41"/>
        <v>20.382428045489917</v>
      </c>
      <c r="AW70" s="514">
        <f t="shared" si="41"/>
        <v>20.382428045489917</v>
      </c>
      <c r="AX70" s="514">
        <f t="shared" si="41"/>
        <v>20.382428045489917</v>
      </c>
      <c r="AY70" s="514">
        <f t="shared" si="41"/>
        <v>20.382428045489917</v>
      </c>
      <c r="AZ70" s="41"/>
    </row>
    <row r="71" spans="1:52" s="43" customFormat="1" ht="18.75" customHeight="1" x14ac:dyDescent="0.3">
      <c r="A71" s="41"/>
      <c r="B71" s="515">
        <f>B69+1</f>
        <v>32</v>
      </c>
      <c r="C71" s="598" t="s">
        <v>145</v>
      </c>
      <c r="D71" s="599"/>
      <c r="E71" s="599"/>
      <c r="F71" s="599"/>
      <c r="G71" s="600"/>
      <c r="I71" s="308" t="s">
        <v>15</v>
      </c>
      <c r="K71" s="513"/>
      <c r="N71" s="506"/>
      <c r="O71" s="516"/>
      <c r="P71" s="310">
        <f>P70/O70-1</f>
        <v>-4.652936689549958E-2</v>
      </c>
      <c r="Q71" s="310">
        <f t="shared" ref="Q71:AY71" si="42">Q70/P70-1</f>
        <v>4.0000000000000036E-2</v>
      </c>
      <c r="R71" s="310">
        <f t="shared" si="42"/>
        <v>-7.0512820512820595E-2</v>
      </c>
      <c r="S71" s="310">
        <f t="shared" si="42"/>
        <v>-7.5862068965517171E-2</v>
      </c>
      <c r="T71" s="310">
        <f t="shared" si="42"/>
        <v>-8.2089552238805985E-2</v>
      </c>
      <c r="U71" s="310">
        <f t="shared" si="42"/>
        <v>-8.943089430894291E-2</v>
      </c>
      <c r="V71" s="310">
        <f t="shared" si="42"/>
        <v>-9.8214285714285698E-2</v>
      </c>
      <c r="W71" s="310">
        <f t="shared" si="42"/>
        <v>-0.10891089108910923</v>
      </c>
      <c r="X71" s="310">
        <f t="shared" si="42"/>
        <v>-2.6666666666666505E-2</v>
      </c>
      <c r="Y71" s="310">
        <f t="shared" si="42"/>
        <v>-2.7397260273972601E-2</v>
      </c>
      <c r="Z71" s="310">
        <f t="shared" si="42"/>
        <v>-2.8169014084507116E-2</v>
      </c>
      <c r="AA71" s="310">
        <f t="shared" si="42"/>
        <v>-2.8985507246376829E-2</v>
      </c>
      <c r="AB71" s="310">
        <f t="shared" si="42"/>
        <v>-2.9850746268656581E-2</v>
      </c>
      <c r="AC71" s="310">
        <f t="shared" si="42"/>
        <v>0</v>
      </c>
      <c r="AD71" s="310">
        <f t="shared" si="42"/>
        <v>0</v>
      </c>
      <c r="AE71" s="310">
        <f t="shared" si="42"/>
        <v>0</v>
      </c>
      <c r="AF71" s="310">
        <f t="shared" si="42"/>
        <v>0</v>
      </c>
      <c r="AG71" s="310">
        <f t="shared" si="42"/>
        <v>0</v>
      </c>
      <c r="AH71" s="310">
        <f t="shared" si="42"/>
        <v>0</v>
      </c>
      <c r="AI71" s="310">
        <f t="shared" si="42"/>
        <v>0</v>
      </c>
      <c r="AJ71" s="310">
        <f t="shared" si="42"/>
        <v>0</v>
      </c>
      <c r="AK71" s="310">
        <f t="shared" si="42"/>
        <v>0</v>
      </c>
      <c r="AL71" s="310">
        <f t="shared" si="42"/>
        <v>0</v>
      </c>
      <c r="AM71" s="310">
        <f t="shared" si="42"/>
        <v>0</v>
      </c>
      <c r="AN71" s="310">
        <f t="shared" si="42"/>
        <v>0</v>
      </c>
      <c r="AO71" s="310">
        <f t="shared" si="42"/>
        <v>0</v>
      </c>
      <c r="AP71" s="310">
        <f t="shared" si="42"/>
        <v>0</v>
      </c>
      <c r="AQ71" s="310">
        <f t="shared" si="42"/>
        <v>0</v>
      </c>
      <c r="AR71" s="310">
        <f t="shared" si="42"/>
        <v>0</v>
      </c>
      <c r="AS71" s="310">
        <f t="shared" si="42"/>
        <v>0</v>
      </c>
      <c r="AT71" s="310">
        <f t="shared" si="42"/>
        <v>0</v>
      </c>
      <c r="AU71" s="310">
        <f t="shared" si="42"/>
        <v>0</v>
      </c>
      <c r="AV71" s="310">
        <f t="shared" si="42"/>
        <v>0</v>
      </c>
      <c r="AW71" s="310">
        <f t="shared" si="42"/>
        <v>0</v>
      </c>
      <c r="AX71" s="310">
        <f t="shared" si="42"/>
        <v>0</v>
      </c>
      <c r="AY71" s="310">
        <f t="shared" si="42"/>
        <v>0</v>
      </c>
      <c r="AZ71" s="41"/>
    </row>
    <row r="72" spans="1:52" s="43" customFormat="1" ht="29.25" customHeight="1" x14ac:dyDescent="0.3">
      <c r="A72" s="41"/>
      <c r="B72" s="515">
        <f>B71+1</f>
        <v>33</v>
      </c>
      <c r="C72" s="598" t="s">
        <v>528</v>
      </c>
      <c r="D72" s="599"/>
      <c r="E72" s="599"/>
      <c r="F72" s="599"/>
      <c r="G72" s="600"/>
      <c r="I72" s="308" t="s">
        <v>144</v>
      </c>
      <c r="K72" s="517">
        <f>0.37/1.19*1000</f>
        <v>310.92436974789916</v>
      </c>
      <c r="N72" s="506"/>
      <c r="O72" s="496">
        <f>$K$72</f>
        <v>310.92436974789916</v>
      </c>
      <c r="P72" s="496">
        <f>$K$72</f>
        <v>310.92436974789916</v>
      </c>
      <c r="Q72" s="496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41"/>
    </row>
    <row r="73" spans="1:52" s="43" customFormat="1" ht="16.5" customHeight="1" x14ac:dyDescent="0.3">
      <c r="A73" s="41"/>
      <c r="B73" s="515">
        <f>B72+1</f>
        <v>34</v>
      </c>
      <c r="C73" s="608" t="s">
        <v>142</v>
      </c>
      <c r="D73" s="608"/>
      <c r="E73" s="608"/>
      <c r="F73" s="608"/>
      <c r="G73" s="608"/>
      <c r="I73" s="308" t="s">
        <v>144</v>
      </c>
      <c r="K73" s="494">
        <v>15</v>
      </c>
      <c r="N73" s="506"/>
      <c r="O73" s="308">
        <f>$K$73</f>
        <v>15</v>
      </c>
      <c r="P73" s="308">
        <f t="shared" ref="P73:AY73" si="43">$K$73</f>
        <v>15</v>
      </c>
      <c r="Q73" s="308">
        <f t="shared" si="43"/>
        <v>15</v>
      </c>
      <c r="R73" s="308">
        <f t="shared" si="43"/>
        <v>15</v>
      </c>
      <c r="S73" s="308">
        <f t="shared" si="43"/>
        <v>15</v>
      </c>
      <c r="T73" s="308">
        <f t="shared" si="43"/>
        <v>15</v>
      </c>
      <c r="U73" s="308">
        <f t="shared" si="43"/>
        <v>15</v>
      </c>
      <c r="V73" s="308">
        <f t="shared" si="43"/>
        <v>15</v>
      </c>
      <c r="W73" s="308">
        <f t="shared" si="43"/>
        <v>15</v>
      </c>
      <c r="X73" s="308">
        <f t="shared" si="43"/>
        <v>15</v>
      </c>
      <c r="Y73" s="308">
        <f t="shared" si="43"/>
        <v>15</v>
      </c>
      <c r="Z73" s="308">
        <f t="shared" si="43"/>
        <v>15</v>
      </c>
      <c r="AA73" s="308">
        <f t="shared" si="43"/>
        <v>15</v>
      </c>
      <c r="AB73" s="308">
        <f t="shared" si="43"/>
        <v>15</v>
      </c>
      <c r="AC73" s="308">
        <f t="shared" si="43"/>
        <v>15</v>
      </c>
      <c r="AD73" s="308">
        <f t="shared" si="43"/>
        <v>15</v>
      </c>
      <c r="AE73" s="308">
        <f t="shared" si="43"/>
        <v>15</v>
      </c>
      <c r="AF73" s="308">
        <f t="shared" si="43"/>
        <v>15</v>
      </c>
      <c r="AG73" s="308">
        <f t="shared" si="43"/>
        <v>15</v>
      </c>
      <c r="AH73" s="308">
        <f t="shared" si="43"/>
        <v>15</v>
      </c>
      <c r="AI73" s="308">
        <f t="shared" si="43"/>
        <v>15</v>
      </c>
      <c r="AJ73" s="308">
        <f t="shared" si="43"/>
        <v>15</v>
      </c>
      <c r="AK73" s="308">
        <f t="shared" si="43"/>
        <v>15</v>
      </c>
      <c r="AL73" s="308">
        <f t="shared" si="43"/>
        <v>15</v>
      </c>
      <c r="AM73" s="308">
        <f t="shared" si="43"/>
        <v>15</v>
      </c>
      <c r="AN73" s="308">
        <f t="shared" si="43"/>
        <v>15</v>
      </c>
      <c r="AO73" s="308">
        <f t="shared" si="43"/>
        <v>15</v>
      </c>
      <c r="AP73" s="308">
        <f t="shared" si="43"/>
        <v>15</v>
      </c>
      <c r="AQ73" s="308">
        <f t="shared" si="43"/>
        <v>15</v>
      </c>
      <c r="AR73" s="308">
        <f t="shared" si="43"/>
        <v>15</v>
      </c>
      <c r="AS73" s="308">
        <f t="shared" si="43"/>
        <v>15</v>
      </c>
      <c r="AT73" s="308">
        <f t="shared" si="43"/>
        <v>15</v>
      </c>
      <c r="AU73" s="308">
        <f t="shared" si="43"/>
        <v>15</v>
      </c>
      <c r="AV73" s="308">
        <f t="shared" si="43"/>
        <v>15</v>
      </c>
      <c r="AW73" s="308">
        <f t="shared" si="43"/>
        <v>15</v>
      </c>
      <c r="AX73" s="308">
        <f t="shared" si="43"/>
        <v>15</v>
      </c>
      <c r="AY73" s="308">
        <f t="shared" si="43"/>
        <v>15</v>
      </c>
      <c r="AZ73" s="41"/>
    </row>
    <row r="74" spans="1:52" s="43" customFormat="1" ht="18.75" customHeight="1" x14ac:dyDescent="0.3">
      <c r="A74" s="41"/>
      <c r="B74" s="300">
        <f t="shared" si="32"/>
        <v>35</v>
      </c>
      <c r="C74" s="608" t="s">
        <v>143</v>
      </c>
      <c r="D74" s="608"/>
      <c r="E74" s="608"/>
      <c r="F74" s="608"/>
      <c r="G74" s="608"/>
      <c r="I74" s="308" t="s">
        <v>144</v>
      </c>
      <c r="K74" s="494">
        <v>11.3</v>
      </c>
      <c r="N74" s="506"/>
      <c r="O74" s="308">
        <f>$K$74</f>
        <v>11.3</v>
      </c>
      <c r="P74" s="308">
        <f t="shared" ref="P74:AY74" si="44">$K$74</f>
        <v>11.3</v>
      </c>
      <c r="Q74" s="308">
        <f t="shared" si="44"/>
        <v>11.3</v>
      </c>
      <c r="R74" s="308">
        <f t="shared" si="44"/>
        <v>11.3</v>
      </c>
      <c r="S74" s="308">
        <f t="shared" si="44"/>
        <v>11.3</v>
      </c>
      <c r="T74" s="308">
        <f t="shared" si="44"/>
        <v>11.3</v>
      </c>
      <c r="U74" s="308">
        <f t="shared" si="44"/>
        <v>11.3</v>
      </c>
      <c r="V74" s="308">
        <f t="shared" si="44"/>
        <v>11.3</v>
      </c>
      <c r="W74" s="308">
        <f t="shared" si="44"/>
        <v>11.3</v>
      </c>
      <c r="X74" s="308">
        <f t="shared" si="44"/>
        <v>11.3</v>
      </c>
      <c r="Y74" s="308">
        <f t="shared" si="44"/>
        <v>11.3</v>
      </c>
      <c r="Z74" s="308">
        <f t="shared" si="44"/>
        <v>11.3</v>
      </c>
      <c r="AA74" s="308">
        <f t="shared" si="44"/>
        <v>11.3</v>
      </c>
      <c r="AB74" s="308">
        <f t="shared" si="44"/>
        <v>11.3</v>
      </c>
      <c r="AC74" s="308">
        <f t="shared" si="44"/>
        <v>11.3</v>
      </c>
      <c r="AD74" s="308">
        <f t="shared" si="44"/>
        <v>11.3</v>
      </c>
      <c r="AE74" s="308">
        <f t="shared" si="44"/>
        <v>11.3</v>
      </c>
      <c r="AF74" s="308">
        <f t="shared" si="44"/>
        <v>11.3</v>
      </c>
      <c r="AG74" s="308">
        <f t="shared" si="44"/>
        <v>11.3</v>
      </c>
      <c r="AH74" s="308">
        <f t="shared" si="44"/>
        <v>11.3</v>
      </c>
      <c r="AI74" s="308">
        <f t="shared" si="44"/>
        <v>11.3</v>
      </c>
      <c r="AJ74" s="308">
        <f t="shared" si="44"/>
        <v>11.3</v>
      </c>
      <c r="AK74" s="308">
        <f t="shared" si="44"/>
        <v>11.3</v>
      </c>
      <c r="AL74" s="308">
        <f t="shared" si="44"/>
        <v>11.3</v>
      </c>
      <c r="AM74" s="308">
        <f t="shared" si="44"/>
        <v>11.3</v>
      </c>
      <c r="AN74" s="308">
        <f t="shared" si="44"/>
        <v>11.3</v>
      </c>
      <c r="AO74" s="308">
        <f t="shared" si="44"/>
        <v>11.3</v>
      </c>
      <c r="AP74" s="308">
        <f t="shared" si="44"/>
        <v>11.3</v>
      </c>
      <c r="AQ74" s="308">
        <f t="shared" si="44"/>
        <v>11.3</v>
      </c>
      <c r="AR74" s="308">
        <f t="shared" si="44"/>
        <v>11.3</v>
      </c>
      <c r="AS74" s="308">
        <f t="shared" si="44"/>
        <v>11.3</v>
      </c>
      <c r="AT74" s="308">
        <f t="shared" si="44"/>
        <v>11.3</v>
      </c>
      <c r="AU74" s="308">
        <f t="shared" si="44"/>
        <v>11.3</v>
      </c>
      <c r="AV74" s="308">
        <f t="shared" si="44"/>
        <v>11.3</v>
      </c>
      <c r="AW74" s="308">
        <f t="shared" si="44"/>
        <v>11.3</v>
      </c>
      <c r="AX74" s="308">
        <f t="shared" si="44"/>
        <v>11.3</v>
      </c>
      <c r="AY74" s="308">
        <f t="shared" si="44"/>
        <v>11.3</v>
      </c>
      <c r="AZ74" s="41"/>
    </row>
    <row r="75" spans="1:52" s="43" customFormat="1" ht="18.75" customHeight="1" x14ac:dyDescent="0.3">
      <c r="A75" s="41"/>
      <c r="B75" s="300">
        <f t="shared" si="32"/>
        <v>36</v>
      </c>
      <c r="C75" s="598" t="s">
        <v>566</v>
      </c>
      <c r="D75" s="599"/>
      <c r="E75" s="599"/>
      <c r="F75" s="599"/>
      <c r="G75" s="600"/>
      <c r="I75" s="308" t="s">
        <v>144</v>
      </c>
      <c r="K75" s="517"/>
      <c r="N75" s="506"/>
      <c r="O75" s="517">
        <v>747.24</v>
      </c>
      <c r="P75" s="517">
        <v>564.91</v>
      </c>
      <c r="Q75" s="517">
        <v>334.65</v>
      </c>
      <c r="R75" s="517">
        <v>395</v>
      </c>
      <c r="S75" s="514">
        <f t="shared" ref="S75:AY75" si="45">R75*(1+S71)+$M$81*S37</f>
        <v>375.39448275862071</v>
      </c>
      <c r="T75" s="514">
        <f t="shared" si="45"/>
        <v>354.97851775604732</v>
      </c>
      <c r="U75" s="514">
        <f t="shared" si="45"/>
        <v>333.63247145266104</v>
      </c>
      <c r="V75" s="514">
        <f t="shared" si="45"/>
        <v>311.26499657784609</v>
      </c>
      <c r="W75" s="514">
        <f t="shared" si="45"/>
        <v>287.76484843570432</v>
      </c>
      <c r="X75" s="514">
        <f t="shared" si="45"/>
        <v>290.49111914408559</v>
      </c>
      <c r="Y75" s="514">
        <f t="shared" si="45"/>
        <v>292.93245834561748</v>
      </c>
      <c r="Z75" s="514">
        <f t="shared" si="45"/>
        <v>295.08083980067045</v>
      </c>
      <c r="AA75" s="514">
        <f t="shared" si="45"/>
        <v>296.92777198036111</v>
      </c>
      <c r="AB75" s="514">
        <f t="shared" si="45"/>
        <v>298.4642563988578</v>
      </c>
      <c r="AC75" s="514">
        <f t="shared" si="45"/>
        <v>308.86425639885778</v>
      </c>
      <c r="AD75" s="514">
        <f t="shared" si="45"/>
        <v>319.26425639885775</v>
      </c>
      <c r="AE75" s="514">
        <f t="shared" si="45"/>
        <v>329.66425639885773</v>
      </c>
      <c r="AF75" s="514">
        <f t="shared" si="45"/>
        <v>340.06425639885771</v>
      </c>
      <c r="AG75" s="514">
        <f t="shared" si="45"/>
        <v>350.46425639885769</v>
      </c>
      <c r="AH75" s="514">
        <f t="shared" si="45"/>
        <v>360.86425639885766</v>
      </c>
      <c r="AI75" s="514">
        <f t="shared" si="45"/>
        <v>371.26425639885764</v>
      </c>
      <c r="AJ75" s="514">
        <f t="shared" si="45"/>
        <v>381.66425639885762</v>
      </c>
      <c r="AK75" s="514">
        <f t="shared" si="45"/>
        <v>392.06425639885759</v>
      </c>
      <c r="AL75" s="514">
        <f t="shared" si="45"/>
        <v>402.46425639885757</v>
      </c>
      <c r="AM75" s="514">
        <f t="shared" si="45"/>
        <v>412.86425639885755</v>
      </c>
      <c r="AN75" s="514">
        <f t="shared" si="45"/>
        <v>423.26425639885753</v>
      </c>
      <c r="AO75" s="514">
        <f t="shared" si="45"/>
        <v>433.6642563988575</v>
      </c>
      <c r="AP75" s="514">
        <f t="shared" si="45"/>
        <v>444.06425639885748</v>
      </c>
      <c r="AQ75" s="514">
        <f t="shared" si="45"/>
        <v>454.46425639885746</v>
      </c>
      <c r="AR75" s="514">
        <f t="shared" si="45"/>
        <v>464.86425639885744</v>
      </c>
      <c r="AS75" s="514">
        <f t="shared" si="45"/>
        <v>475.26425639885741</v>
      </c>
      <c r="AT75" s="514">
        <f t="shared" si="45"/>
        <v>485.66425639885739</v>
      </c>
      <c r="AU75" s="514">
        <f t="shared" si="45"/>
        <v>496.06425639885737</v>
      </c>
      <c r="AV75" s="514">
        <f t="shared" si="45"/>
        <v>506.46425639885734</v>
      </c>
      <c r="AW75" s="514">
        <f t="shared" si="45"/>
        <v>516.86425639885738</v>
      </c>
      <c r="AX75" s="514">
        <f t="shared" si="45"/>
        <v>527.26425639885736</v>
      </c>
      <c r="AY75" s="514">
        <f t="shared" si="45"/>
        <v>537.66425639885733</v>
      </c>
      <c r="AZ75" s="41"/>
    </row>
    <row r="76" spans="1:52" s="43" customFormat="1" ht="18.75" customHeight="1" x14ac:dyDescent="0.3">
      <c r="A76" s="41"/>
      <c r="B76" s="300"/>
      <c r="C76" s="598" t="s">
        <v>633</v>
      </c>
      <c r="D76" s="599"/>
      <c r="E76" s="599"/>
      <c r="F76" s="599"/>
      <c r="G76" s="600"/>
      <c r="I76" s="308" t="s">
        <v>144</v>
      </c>
      <c r="K76" s="517">
        <f>31.2+4.04+27.44</f>
        <v>62.680000000000007</v>
      </c>
      <c r="N76" s="506"/>
      <c r="O76" s="514">
        <f>K76</f>
        <v>62.680000000000007</v>
      </c>
      <c r="P76" s="514">
        <f>O76</f>
        <v>62.680000000000007</v>
      </c>
      <c r="Q76" s="514">
        <f t="shared" ref="Q76:AY76" si="46">P76</f>
        <v>62.680000000000007</v>
      </c>
      <c r="R76" s="514">
        <f t="shared" si="46"/>
        <v>62.680000000000007</v>
      </c>
      <c r="S76" s="514">
        <f t="shared" si="46"/>
        <v>62.680000000000007</v>
      </c>
      <c r="T76" s="514">
        <f t="shared" si="46"/>
        <v>62.680000000000007</v>
      </c>
      <c r="U76" s="514">
        <f t="shared" si="46"/>
        <v>62.680000000000007</v>
      </c>
      <c r="V76" s="514">
        <f t="shared" si="46"/>
        <v>62.680000000000007</v>
      </c>
      <c r="W76" s="514">
        <f t="shared" si="46"/>
        <v>62.680000000000007</v>
      </c>
      <c r="X76" s="514">
        <f t="shared" si="46"/>
        <v>62.680000000000007</v>
      </c>
      <c r="Y76" s="514">
        <f t="shared" si="46"/>
        <v>62.680000000000007</v>
      </c>
      <c r="Z76" s="514">
        <f t="shared" si="46"/>
        <v>62.680000000000007</v>
      </c>
      <c r="AA76" s="514">
        <f t="shared" si="46"/>
        <v>62.680000000000007</v>
      </c>
      <c r="AB76" s="514">
        <f t="shared" si="46"/>
        <v>62.680000000000007</v>
      </c>
      <c r="AC76" s="514">
        <f t="shared" si="46"/>
        <v>62.680000000000007</v>
      </c>
      <c r="AD76" s="514">
        <f t="shared" si="46"/>
        <v>62.680000000000007</v>
      </c>
      <c r="AE76" s="514">
        <f t="shared" si="46"/>
        <v>62.680000000000007</v>
      </c>
      <c r="AF76" s="514">
        <f t="shared" si="46"/>
        <v>62.680000000000007</v>
      </c>
      <c r="AG76" s="514">
        <f t="shared" si="46"/>
        <v>62.680000000000007</v>
      </c>
      <c r="AH76" s="514">
        <f t="shared" si="46"/>
        <v>62.680000000000007</v>
      </c>
      <c r="AI76" s="514">
        <f t="shared" si="46"/>
        <v>62.680000000000007</v>
      </c>
      <c r="AJ76" s="514">
        <f t="shared" si="46"/>
        <v>62.680000000000007</v>
      </c>
      <c r="AK76" s="514">
        <f t="shared" si="46"/>
        <v>62.680000000000007</v>
      </c>
      <c r="AL76" s="514">
        <f t="shared" si="46"/>
        <v>62.680000000000007</v>
      </c>
      <c r="AM76" s="514">
        <f t="shared" si="46"/>
        <v>62.680000000000007</v>
      </c>
      <c r="AN76" s="514">
        <f t="shared" si="46"/>
        <v>62.680000000000007</v>
      </c>
      <c r="AO76" s="514">
        <f t="shared" si="46"/>
        <v>62.680000000000007</v>
      </c>
      <c r="AP76" s="514">
        <f t="shared" si="46"/>
        <v>62.680000000000007</v>
      </c>
      <c r="AQ76" s="514">
        <f t="shared" si="46"/>
        <v>62.680000000000007</v>
      </c>
      <c r="AR76" s="514">
        <f t="shared" si="46"/>
        <v>62.680000000000007</v>
      </c>
      <c r="AS76" s="514">
        <f t="shared" si="46"/>
        <v>62.680000000000007</v>
      </c>
      <c r="AT76" s="514">
        <f t="shared" si="46"/>
        <v>62.680000000000007</v>
      </c>
      <c r="AU76" s="514">
        <f t="shared" si="46"/>
        <v>62.680000000000007</v>
      </c>
      <c r="AV76" s="514">
        <f t="shared" si="46"/>
        <v>62.680000000000007</v>
      </c>
      <c r="AW76" s="514">
        <f t="shared" si="46"/>
        <v>62.680000000000007</v>
      </c>
      <c r="AX76" s="514">
        <f t="shared" si="46"/>
        <v>62.680000000000007</v>
      </c>
      <c r="AY76" s="514">
        <f t="shared" si="46"/>
        <v>62.680000000000007</v>
      </c>
      <c r="AZ76" s="41"/>
    </row>
    <row r="77" spans="1:52" s="43" customFormat="1" ht="18.75" customHeight="1" x14ac:dyDescent="0.3">
      <c r="A77" s="41"/>
      <c r="B77" s="300">
        <f>B75+1</f>
        <v>37</v>
      </c>
      <c r="C77" s="598" t="s">
        <v>631</v>
      </c>
      <c r="D77" s="599"/>
      <c r="E77" s="599"/>
      <c r="F77" s="599"/>
      <c r="G77" s="600"/>
      <c r="I77" s="308" t="s">
        <v>144</v>
      </c>
      <c r="K77" s="517">
        <v>65.13</v>
      </c>
      <c r="N77" s="506"/>
      <c r="O77" s="514">
        <f>$K$77</f>
        <v>65.13</v>
      </c>
      <c r="P77" s="514">
        <f t="shared" ref="P77:AY77" si="47">$K$77</f>
        <v>65.13</v>
      </c>
      <c r="Q77" s="514">
        <f t="shared" si="47"/>
        <v>65.13</v>
      </c>
      <c r="R77" s="514">
        <f t="shared" si="47"/>
        <v>65.13</v>
      </c>
      <c r="S77" s="514">
        <f t="shared" si="47"/>
        <v>65.13</v>
      </c>
      <c r="T77" s="514">
        <f t="shared" si="47"/>
        <v>65.13</v>
      </c>
      <c r="U77" s="514">
        <f t="shared" si="47"/>
        <v>65.13</v>
      </c>
      <c r="V77" s="514">
        <f t="shared" si="47"/>
        <v>65.13</v>
      </c>
      <c r="W77" s="514">
        <f t="shared" si="47"/>
        <v>65.13</v>
      </c>
      <c r="X77" s="514">
        <f t="shared" si="47"/>
        <v>65.13</v>
      </c>
      <c r="Y77" s="514">
        <f t="shared" si="47"/>
        <v>65.13</v>
      </c>
      <c r="Z77" s="514">
        <f t="shared" si="47"/>
        <v>65.13</v>
      </c>
      <c r="AA77" s="514">
        <f t="shared" si="47"/>
        <v>65.13</v>
      </c>
      <c r="AB77" s="514">
        <f t="shared" si="47"/>
        <v>65.13</v>
      </c>
      <c r="AC77" s="514">
        <f t="shared" si="47"/>
        <v>65.13</v>
      </c>
      <c r="AD77" s="514">
        <f t="shared" si="47"/>
        <v>65.13</v>
      </c>
      <c r="AE77" s="514">
        <f t="shared" si="47"/>
        <v>65.13</v>
      </c>
      <c r="AF77" s="514">
        <f t="shared" si="47"/>
        <v>65.13</v>
      </c>
      <c r="AG77" s="514">
        <f t="shared" si="47"/>
        <v>65.13</v>
      </c>
      <c r="AH77" s="514">
        <f t="shared" si="47"/>
        <v>65.13</v>
      </c>
      <c r="AI77" s="514">
        <f t="shared" si="47"/>
        <v>65.13</v>
      </c>
      <c r="AJ77" s="514">
        <f t="shared" si="47"/>
        <v>65.13</v>
      </c>
      <c r="AK77" s="514">
        <f t="shared" si="47"/>
        <v>65.13</v>
      </c>
      <c r="AL77" s="514">
        <f t="shared" si="47"/>
        <v>65.13</v>
      </c>
      <c r="AM77" s="514">
        <f t="shared" si="47"/>
        <v>65.13</v>
      </c>
      <c r="AN77" s="514">
        <f t="shared" si="47"/>
        <v>65.13</v>
      </c>
      <c r="AO77" s="514">
        <f t="shared" si="47"/>
        <v>65.13</v>
      </c>
      <c r="AP77" s="514">
        <f t="shared" si="47"/>
        <v>65.13</v>
      </c>
      <c r="AQ77" s="514">
        <f t="shared" si="47"/>
        <v>65.13</v>
      </c>
      <c r="AR77" s="514">
        <f t="shared" si="47"/>
        <v>65.13</v>
      </c>
      <c r="AS77" s="514">
        <f t="shared" si="47"/>
        <v>65.13</v>
      </c>
      <c r="AT77" s="514">
        <f t="shared" si="47"/>
        <v>65.13</v>
      </c>
      <c r="AU77" s="514">
        <f t="shared" si="47"/>
        <v>65.13</v>
      </c>
      <c r="AV77" s="514">
        <f t="shared" si="47"/>
        <v>65.13</v>
      </c>
      <c r="AW77" s="514">
        <f t="shared" si="47"/>
        <v>65.13</v>
      </c>
      <c r="AX77" s="514">
        <f t="shared" si="47"/>
        <v>65.13</v>
      </c>
      <c r="AY77" s="514">
        <f t="shared" si="47"/>
        <v>65.13</v>
      </c>
      <c r="AZ77" s="41"/>
    </row>
    <row r="78" spans="1:52" s="43" customFormat="1" ht="18.75" customHeight="1" x14ac:dyDescent="0.3">
      <c r="A78" s="41"/>
      <c r="B78" s="300">
        <f t="shared" si="32"/>
        <v>38</v>
      </c>
      <c r="C78" s="598" t="s">
        <v>632</v>
      </c>
      <c r="D78" s="599"/>
      <c r="E78" s="599"/>
      <c r="F78" s="599"/>
      <c r="G78" s="600"/>
      <c r="I78" s="308" t="s">
        <v>144</v>
      </c>
      <c r="K78" s="517">
        <v>210.07</v>
      </c>
      <c r="N78" s="506"/>
      <c r="O78" s="514">
        <f>$K$78</f>
        <v>210.07</v>
      </c>
      <c r="P78" s="514">
        <f t="shared" ref="P78:AY78" si="48">$K$78</f>
        <v>210.07</v>
      </c>
      <c r="Q78" s="514">
        <f t="shared" si="48"/>
        <v>210.07</v>
      </c>
      <c r="R78" s="514">
        <f t="shared" si="48"/>
        <v>210.07</v>
      </c>
      <c r="S78" s="514">
        <f t="shared" si="48"/>
        <v>210.07</v>
      </c>
      <c r="T78" s="514">
        <f t="shared" si="48"/>
        <v>210.07</v>
      </c>
      <c r="U78" s="514">
        <f t="shared" si="48"/>
        <v>210.07</v>
      </c>
      <c r="V78" s="514">
        <f t="shared" si="48"/>
        <v>210.07</v>
      </c>
      <c r="W78" s="514">
        <f t="shared" si="48"/>
        <v>210.07</v>
      </c>
      <c r="X78" s="514">
        <f t="shared" si="48"/>
        <v>210.07</v>
      </c>
      <c r="Y78" s="514">
        <f t="shared" si="48"/>
        <v>210.07</v>
      </c>
      <c r="Z78" s="514">
        <f t="shared" si="48"/>
        <v>210.07</v>
      </c>
      <c r="AA78" s="514">
        <f t="shared" si="48"/>
        <v>210.07</v>
      </c>
      <c r="AB78" s="514">
        <f t="shared" si="48"/>
        <v>210.07</v>
      </c>
      <c r="AC78" s="514">
        <f t="shared" si="48"/>
        <v>210.07</v>
      </c>
      <c r="AD78" s="514">
        <f t="shared" si="48"/>
        <v>210.07</v>
      </c>
      <c r="AE78" s="514">
        <f t="shared" si="48"/>
        <v>210.07</v>
      </c>
      <c r="AF78" s="514">
        <f t="shared" si="48"/>
        <v>210.07</v>
      </c>
      <c r="AG78" s="514">
        <f t="shared" si="48"/>
        <v>210.07</v>
      </c>
      <c r="AH78" s="514">
        <f t="shared" si="48"/>
        <v>210.07</v>
      </c>
      <c r="AI78" s="514">
        <f t="shared" si="48"/>
        <v>210.07</v>
      </c>
      <c r="AJ78" s="514">
        <f t="shared" si="48"/>
        <v>210.07</v>
      </c>
      <c r="AK78" s="514">
        <f t="shared" si="48"/>
        <v>210.07</v>
      </c>
      <c r="AL78" s="514">
        <f t="shared" si="48"/>
        <v>210.07</v>
      </c>
      <c r="AM78" s="514">
        <f t="shared" si="48"/>
        <v>210.07</v>
      </c>
      <c r="AN78" s="514">
        <f t="shared" si="48"/>
        <v>210.07</v>
      </c>
      <c r="AO78" s="514">
        <f t="shared" si="48"/>
        <v>210.07</v>
      </c>
      <c r="AP78" s="514">
        <f t="shared" si="48"/>
        <v>210.07</v>
      </c>
      <c r="AQ78" s="514">
        <f t="shared" si="48"/>
        <v>210.07</v>
      </c>
      <c r="AR78" s="514">
        <f t="shared" si="48"/>
        <v>210.07</v>
      </c>
      <c r="AS78" s="514">
        <f t="shared" si="48"/>
        <v>210.07</v>
      </c>
      <c r="AT78" s="514">
        <f t="shared" si="48"/>
        <v>210.07</v>
      </c>
      <c r="AU78" s="514">
        <f t="shared" si="48"/>
        <v>210.07</v>
      </c>
      <c r="AV78" s="514">
        <f t="shared" si="48"/>
        <v>210.07</v>
      </c>
      <c r="AW78" s="514">
        <f t="shared" si="48"/>
        <v>210.07</v>
      </c>
      <c r="AX78" s="514">
        <f t="shared" si="48"/>
        <v>210.07</v>
      </c>
      <c r="AY78" s="514">
        <f t="shared" si="48"/>
        <v>210.07</v>
      </c>
      <c r="AZ78" s="41"/>
    </row>
    <row r="79" spans="1:52" s="43" customFormat="1" ht="18.75" customHeight="1" x14ac:dyDescent="0.3">
      <c r="A79" s="41"/>
      <c r="B79" s="300">
        <f t="shared" si="32"/>
        <v>39</v>
      </c>
      <c r="C79" s="598" t="s">
        <v>634</v>
      </c>
      <c r="D79" s="599"/>
      <c r="E79" s="599"/>
      <c r="F79" s="599"/>
      <c r="G79" s="600"/>
      <c r="I79" s="308" t="s">
        <v>144</v>
      </c>
      <c r="K79" s="517">
        <f>6.05+3.03+71.68</f>
        <v>80.760000000000005</v>
      </c>
      <c r="N79" s="506"/>
      <c r="O79" s="514">
        <f>$K$79</f>
        <v>80.760000000000005</v>
      </c>
      <c r="P79" s="514">
        <f t="shared" ref="P79:AY79" si="49">$K$79</f>
        <v>80.760000000000005</v>
      </c>
      <c r="Q79" s="514">
        <f t="shared" si="49"/>
        <v>80.760000000000005</v>
      </c>
      <c r="R79" s="514">
        <f t="shared" si="49"/>
        <v>80.760000000000005</v>
      </c>
      <c r="S79" s="514">
        <f t="shared" si="49"/>
        <v>80.760000000000005</v>
      </c>
      <c r="T79" s="514">
        <f t="shared" si="49"/>
        <v>80.760000000000005</v>
      </c>
      <c r="U79" s="514">
        <f t="shared" si="49"/>
        <v>80.760000000000005</v>
      </c>
      <c r="V79" s="514">
        <f t="shared" si="49"/>
        <v>80.760000000000005</v>
      </c>
      <c r="W79" s="514">
        <f t="shared" si="49"/>
        <v>80.760000000000005</v>
      </c>
      <c r="X79" s="514">
        <f t="shared" si="49"/>
        <v>80.760000000000005</v>
      </c>
      <c r="Y79" s="514">
        <f t="shared" si="49"/>
        <v>80.760000000000005</v>
      </c>
      <c r="Z79" s="514">
        <f t="shared" si="49"/>
        <v>80.760000000000005</v>
      </c>
      <c r="AA79" s="514">
        <f t="shared" si="49"/>
        <v>80.760000000000005</v>
      </c>
      <c r="AB79" s="514">
        <f t="shared" si="49"/>
        <v>80.760000000000005</v>
      </c>
      <c r="AC79" s="514">
        <f t="shared" si="49"/>
        <v>80.760000000000005</v>
      </c>
      <c r="AD79" s="514">
        <f t="shared" si="49"/>
        <v>80.760000000000005</v>
      </c>
      <c r="AE79" s="514">
        <f t="shared" si="49"/>
        <v>80.760000000000005</v>
      </c>
      <c r="AF79" s="514">
        <f t="shared" si="49"/>
        <v>80.760000000000005</v>
      </c>
      <c r="AG79" s="514">
        <f t="shared" si="49"/>
        <v>80.760000000000005</v>
      </c>
      <c r="AH79" s="514">
        <f t="shared" si="49"/>
        <v>80.760000000000005</v>
      </c>
      <c r="AI79" s="514">
        <f t="shared" si="49"/>
        <v>80.760000000000005</v>
      </c>
      <c r="AJ79" s="514">
        <f t="shared" si="49"/>
        <v>80.760000000000005</v>
      </c>
      <c r="AK79" s="514">
        <f t="shared" si="49"/>
        <v>80.760000000000005</v>
      </c>
      <c r="AL79" s="514">
        <f t="shared" si="49"/>
        <v>80.760000000000005</v>
      </c>
      <c r="AM79" s="514">
        <f t="shared" si="49"/>
        <v>80.760000000000005</v>
      </c>
      <c r="AN79" s="514">
        <f t="shared" si="49"/>
        <v>80.760000000000005</v>
      </c>
      <c r="AO79" s="514">
        <f t="shared" si="49"/>
        <v>80.760000000000005</v>
      </c>
      <c r="AP79" s="514">
        <f t="shared" si="49"/>
        <v>80.760000000000005</v>
      </c>
      <c r="AQ79" s="514">
        <f t="shared" si="49"/>
        <v>80.760000000000005</v>
      </c>
      <c r="AR79" s="514">
        <f t="shared" si="49"/>
        <v>80.760000000000005</v>
      </c>
      <c r="AS79" s="514">
        <f t="shared" si="49"/>
        <v>80.760000000000005</v>
      </c>
      <c r="AT79" s="514">
        <f t="shared" si="49"/>
        <v>80.760000000000005</v>
      </c>
      <c r="AU79" s="514">
        <f t="shared" si="49"/>
        <v>80.760000000000005</v>
      </c>
      <c r="AV79" s="514">
        <f t="shared" si="49"/>
        <v>80.760000000000005</v>
      </c>
      <c r="AW79" s="514">
        <f t="shared" si="49"/>
        <v>80.760000000000005</v>
      </c>
      <c r="AX79" s="514">
        <f t="shared" si="49"/>
        <v>80.760000000000005</v>
      </c>
      <c r="AY79" s="514">
        <f t="shared" si="49"/>
        <v>80.760000000000005</v>
      </c>
      <c r="AZ79" s="41"/>
    </row>
    <row r="80" spans="1:52" s="43" customFormat="1" ht="18.75" customHeight="1" x14ac:dyDescent="0.3">
      <c r="A80" s="41"/>
      <c r="B80" s="300">
        <f t="shared" si="32"/>
        <v>40</v>
      </c>
      <c r="C80" s="608" t="s">
        <v>412</v>
      </c>
      <c r="D80" s="608"/>
      <c r="E80" s="608"/>
      <c r="F80" s="608"/>
      <c r="G80" s="608"/>
      <c r="I80" s="308" t="s">
        <v>144</v>
      </c>
      <c r="K80" s="498">
        <v>0.5</v>
      </c>
      <c r="M80" s="43" t="s">
        <v>661</v>
      </c>
      <c r="N80" s="506" t="s">
        <v>662</v>
      </c>
      <c r="O80" s="514">
        <v>1166.19</v>
      </c>
      <c r="P80" s="514">
        <f t="shared" ref="P80:AY80" si="50">P75*$K$80</f>
        <v>282.45499999999998</v>
      </c>
      <c r="Q80" s="514">
        <f t="shared" si="50"/>
        <v>167.32499999999999</v>
      </c>
      <c r="R80" s="514">
        <f t="shared" si="50"/>
        <v>197.5</v>
      </c>
      <c r="S80" s="514">
        <f t="shared" si="50"/>
        <v>187.69724137931036</v>
      </c>
      <c r="T80" s="514">
        <f t="shared" si="50"/>
        <v>177.48925887802366</v>
      </c>
      <c r="U80" s="514">
        <f t="shared" si="50"/>
        <v>166.81623572633052</v>
      </c>
      <c r="V80" s="514">
        <f t="shared" si="50"/>
        <v>155.63249828892305</v>
      </c>
      <c r="W80" s="514">
        <f t="shared" si="50"/>
        <v>143.88242421785216</v>
      </c>
      <c r="X80" s="514">
        <f t="shared" si="50"/>
        <v>145.24555957204279</v>
      </c>
      <c r="Y80" s="514">
        <f t="shared" si="50"/>
        <v>146.46622917280874</v>
      </c>
      <c r="Z80" s="514">
        <f t="shared" si="50"/>
        <v>147.54041990033522</v>
      </c>
      <c r="AA80" s="514">
        <f t="shared" si="50"/>
        <v>148.46388599018056</v>
      </c>
      <c r="AB80" s="514">
        <f t="shared" si="50"/>
        <v>149.2321281994289</v>
      </c>
      <c r="AC80" s="514">
        <f t="shared" si="50"/>
        <v>154.43212819942889</v>
      </c>
      <c r="AD80" s="514">
        <f t="shared" si="50"/>
        <v>159.63212819942888</v>
      </c>
      <c r="AE80" s="514">
        <f t="shared" si="50"/>
        <v>164.83212819942887</v>
      </c>
      <c r="AF80" s="514">
        <f t="shared" si="50"/>
        <v>170.03212819942885</v>
      </c>
      <c r="AG80" s="514">
        <f t="shared" si="50"/>
        <v>175.23212819942884</v>
      </c>
      <c r="AH80" s="514">
        <f t="shared" si="50"/>
        <v>180.43212819942883</v>
      </c>
      <c r="AI80" s="514">
        <f t="shared" si="50"/>
        <v>185.63212819942882</v>
      </c>
      <c r="AJ80" s="514">
        <f t="shared" si="50"/>
        <v>190.83212819942881</v>
      </c>
      <c r="AK80" s="514">
        <f t="shared" si="50"/>
        <v>196.0321281994288</v>
      </c>
      <c r="AL80" s="514">
        <f t="shared" si="50"/>
        <v>201.23212819942879</v>
      </c>
      <c r="AM80" s="514">
        <f t="shared" si="50"/>
        <v>206.43212819942877</v>
      </c>
      <c r="AN80" s="514">
        <f t="shared" si="50"/>
        <v>211.63212819942876</v>
      </c>
      <c r="AO80" s="514">
        <f t="shared" si="50"/>
        <v>216.83212819942875</v>
      </c>
      <c r="AP80" s="514">
        <f t="shared" si="50"/>
        <v>222.03212819942874</v>
      </c>
      <c r="AQ80" s="514">
        <f t="shared" si="50"/>
        <v>227.23212819942873</v>
      </c>
      <c r="AR80" s="514">
        <f t="shared" si="50"/>
        <v>232.43212819942872</v>
      </c>
      <c r="AS80" s="514">
        <f t="shared" si="50"/>
        <v>237.63212819942871</v>
      </c>
      <c r="AT80" s="514">
        <f t="shared" si="50"/>
        <v>242.83212819942869</v>
      </c>
      <c r="AU80" s="514">
        <f t="shared" si="50"/>
        <v>248.03212819942868</v>
      </c>
      <c r="AV80" s="514">
        <f t="shared" si="50"/>
        <v>253.23212819942867</v>
      </c>
      <c r="AW80" s="514">
        <f t="shared" si="50"/>
        <v>258.43212819942869</v>
      </c>
      <c r="AX80" s="514">
        <f t="shared" si="50"/>
        <v>263.63212819942868</v>
      </c>
      <c r="AY80" s="514">
        <f t="shared" si="50"/>
        <v>268.83212819942867</v>
      </c>
      <c r="AZ80" s="41"/>
    </row>
    <row r="81" spans="1:52" s="43" customFormat="1" ht="18.75" customHeight="1" x14ac:dyDescent="0.3">
      <c r="A81" s="41"/>
      <c r="B81" s="300">
        <f t="shared" si="32"/>
        <v>41</v>
      </c>
      <c r="C81" s="608" t="s">
        <v>220</v>
      </c>
      <c r="D81" s="608"/>
      <c r="E81" s="608"/>
      <c r="F81" s="608"/>
      <c r="G81" s="608"/>
      <c r="I81" s="308" t="s">
        <v>219</v>
      </c>
      <c r="K81" s="505">
        <v>70</v>
      </c>
      <c r="M81" s="494">
        <v>2</v>
      </c>
      <c r="N81" s="494">
        <v>130</v>
      </c>
      <c r="O81" s="503">
        <f>K81</f>
        <v>70</v>
      </c>
      <c r="P81" s="503">
        <v>74.11</v>
      </c>
      <c r="Q81" s="503">
        <v>83.31</v>
      </c>
      <c r="R81" s="503">
        <f>IF(R4&lt;=$AB$4,Q81+$M$81,Q81)</f>
        <v>85.31</v>
      </c>
      <c r="S81" s="503">
        <f>IF(S4&lt;=$AB$4,R81+$M$81,R81)</f>
        <v>87.31</v>
      </c>
      <c r="T81" s="503">
        <f>IF(T4&lt;=$AB$4,S81+$M$81,S81)</f>
        <v>89.31</v>
      </c>
      <c r="U81" s="503">
        <f>IF(U4&lt;=$AB$4,T81+$M$81,T81)</f>
        <v>91.31</v>
      </c>
      <c r="V81" s="503">
        <f>IF(V4&lt;=$AB$4,U81+$M$81,U81)</f>
        <v>93.31</v>
      </c>
      <c r="W81" s="503">
        <f t="shared" ref="W81:AH81" si="51">V81+($AI$81-$V$81)/($AI$4-$V$4)</f>
        <v>96.132307692307691</v>
      </c>
      <c r="X81" s="503">
        <f t="shared" si="51"/>
        <v>98.95461538461538</v>
      </c>
      <c r="Y81" s="503">
        <f t="shared" si="51"/>
        <v>101.77692307692307</v>
      </c>
      <c r="Z81" s="503">
        <f t="shared" si="51"/>
        <v>104.59923076923076</v>
      </c>
      <c r="AA81" s="503">
        <f t="shared" si="51"/>
        <v>107.42153846153845</v>
      </c>
      <c r="AB81" s="503">
        <f t="shared" si="51"/>
        <v>110.24384615384614</v>
      </c>
      <c r="AC81" s="503">
        <f t="shared" si="51"/>
        <v>113.06615384615382</v>
      </c>
      <c r="AD81" s="503">
        <f t="shared" si="51"/>
        <v>115.88846153846151</v>
      </c>
      <c r="AE81" s="503">
        <f t="shared" si="51"/>
        <v>118.7107692307692</v>
      </c>
      <c r="AF81" s="503">
        <f t="shared" si="51"/>
        <v>121.53307692307689</v>
      </c>
      <c r="AG81" s="503">
        <f t="shared" si="51"/>
        <v>124.35538461538458</v>
      </c>
      <c r="AH81" s="503">
        <f t="shared" si="51"/>
        <v>127.17769230769227</v>
      </c>
      <c r="AI81" s="503">
        <v>130</v>
      </c>
      <c r="AJ81" s="503">
        <v>130</v>
      </c>
      <c r="AK81" s="503">
        <v>130</v>
      </c>
      <c r="AL81" s="503">
        <v>130</v>
      </c>
      <c r="AM81" s="503">
        <v>130</v>
      </c>
      <c r="AN81" s="503">
        <v>130</v>
      </c>
      <c r="AO81" s="503">
        <v>130</v>
      </c>
      <c r="AP81" s="503">
        <v>130</v>
      </c>
      <c r="AQ81" s="503">
        <v>130</v>
      </c>
      <c r="AR81" s="503">
        <v>130</v>
      </c>
      <c r="AS81" s="503">
        <v>130</v>
      </c>
      <c r="AT81" s="503">
        <v>130</v>
      </c>
      <c r="AU81" s="503">
        <v>130</v>
      </c>
      <c r="AV81" s="503">
        <v>130</v>
      </c>
      <c r="AW81" s="503">
        <v>130</v>
      </c>
      <c r="AX81" s="503">
        <v>130</v>
      </c>
      <c r="AY81" s="503">
        <v>130</v>
      </c>
      <c r="AZ81" s="41"/>
    </row>
    <row r="82" spans="1:52" s="43" customFormat="1" ht="18.75" customHeight="1" x14ac:dyDescent="0.3">
      <c r="A82" s="41"/>
      <c r="B82" s="300">
        <f>B81+1</f>
        <v>42</v>
      </c>
      <c r="C82" s="608" t="s">
        <v>411</v>
      </c>
      <c r="D82" s="608"/>
      <c r="E82" s="608"/>
      <c r="F82" s="608"/>
      <c r="G82" s="608"/>
      <c r="I82" s="308" t="s">
        <v>144</v>
      </c>
      <c r="K82" s="505"/>
      <c r="M82" s="305"/>
      <c r="N82" s="506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41"/>
    </row>
    <row r="83" spans="1:52" s="43" customFormat="1" ht="18.75" customHeight="1" x14ac:dyDescent="0.3">
      <c r="A83" s="41"/>
      <c r="B83" s="300">
        <f t="shared" si="32"/>
        <v>43</v>
      </c>
      <c r="C83" s="608" t="s">
        <v>565</v>
      </c>
      <c r="D83" s="608"/>
      <c r="E83" s="608"/>
      <c r="F83" s="608"/>
      <c r="G83" s="608"/>
      <c r="I83" s="308" t="s">
        <v>32</v>
      </c>
      <c r="K83" s="505">
        <v>763</v>
      </c>
      <c r="M83" s="571">
        <v>0</v>
      </c>
      <c r="N83" s="506"/>
      <c r="O83" s="518">
        <f>K83</f>
        <v>763</v>
      </c>
      <c r="P83" s="518">
        <f>O83*(1+$M$83)</f>
        <v>763</v>
      </c>
      <c r="Q83" s="518">
        <f t="shared" ref="Q83:AB83" si="52">P83*(1+$M$83)</f>
        <v>763</v>
      </c>
      <c r="R83" s="518">
        <f t="shared" si="52"/>
        <v>763</v>
      </c>
      <c r="S83" s="518">
        <f t="shared" si="52"/>
        <v>763</v>
      </c>
      <c r="T83" s="518">
        <f t="shared" si="52"/>
        <v>763</v>
      </c>
      <c r="U83" s="518">
        <f t="shared" si="52"/>
        <v>763</v>
      </c>
      <c r="V83" s="518">
        <f t="shared" si="52"/>
        <v>763</v>
      </c>
      <c r="W83" s="518">
        <f t="shared" si="52"/>
        <v>763</v>
      </c>
      <c r="X83" s="518">
        <f t="shared" si="52"/>
        <v>763</v>
      </c>
      <c r="Y83" s="518">
        <f t="shared" si="52"/>
        <v>763</v>
      </c>
      <c r="Z83" s="518">
        <f t="shared" si="52"/>
        <v>763</v>
      </c>
      <c r="AA83" s="518">
        <f t="shared" si="52"/>
        <v>763</v>
      </c>
      <c r="AB83" s="518">
        <f t="shared" si="52"/>
        <v>763</v>
      </c>
      <c r="AC83" s="518">
        <f t="shared" ref="AC83:AY83" si="53">AB83</f>
        <v>763</v>
      </c>
      <c r="AD83" s="518">
        <f t="shared" si="53"/>
        <v>763</v>
      </c>
      <c r="AE83" s="518">
        <f t="shared" si="53"/>
        <v>763</v>
      </c>
      <c r="AF83" s="518">
        <f t="shared" si="53"/>
        <v>763</v>
      </c>
      <c r="AG83" s="518">
        <f t="shared" si="53"/>
        <v>763</v>
      </c>
      <c r="AH83" s="518">
        <f t="shared" si="53"/>
        <v>763</v>
      </c>
      <c r="AI83" s="518">
        <f t="shared" si="53"/>
        <v>763</v>
      </c>
      <c r="AJ83" s="518">
        <f t="shared" si="53"/>
        <v>763</v>
      </c>
      <c r="AK83" s="518">
        <f t="shared" si="53"/>
        <v>763</v>
      </c>
      <c r="AL83" s="518">
        <f t="shared" si="53"/>
        <v>763</v>
      </c>
      <c r="AM83" s="518">
        <f t="shared" si="53"/>
        <v>763</v>
      </c>
      <c r="AN83" s="518">
        <f t="shared" si="53"/>
        <v>763</v>
      </c>
      <c r="AO83" s="518">
        <f t="shared" si="53"/>
        <v>763</v>
      </c>
      <c r="AP83" s="518">
        <f t="shared" si="53"/>
        <v>763</v>
      </c>
      <c r="AQ83" s="518">
        <f t="shared" si="53"/>
        <v>763</v>
      </c>
      <c r="AR83" s="518">
        <f t="shared" si="53"/>
        <v>763</v>
      </c>
      <c r="AS83" s="518">
        <f t="shared" si="53"/>
        <v>763</v>
      </c>
      <c r="AT83" s="518">
        <f t="shared" si="53"/>
        <v>763</v>
      </c>
      <c r="AU83" s="518">
        <f t="shared" si="53"/>
        <v>763</v>
      </c>
      <c r="AV83" s="518">
        <f t="shared" si="53"/>
        <v>763</v>
      </c>
      <c r="AW83" s="518">
        <f t="shared" si="53"/>
        <v>763</v>
      </c>
      <c r="AX83" s="518">
        <f t="shared" si="53"/>
        <v>763</v>
      </c>
      <c r="AY83" s="518">
        <f t="shared" si="53"/>
        <v>763</v>
      </c>
      <c r="AZ83" s="41"/>
    </row>
    <row r="84" spans="1:52" s="43" customFormat="1" ht="18.75" customHeight="1" x14ac:dyDescent="0.3">
      <c r="A84" s="41"/>
      <c r="B84" s="601">
        <f t="shared" si="32"/>
        <v>44</v>
      </c>
      <c r="C84" s="602" t="s">
        <v>571</v>
      </c>
      <c r="D84" s="603"/>
      <c r="E84" s="603"/>
      <c r="F84" s="603"/>
      <c r="G84" s="604"/>
      <c r="I84" s="308" t="s">
        <v>572</v>
      </c>
      <c r="K84" s="505">
        <v>488.36562984660407</v>
      </c>
      <c r="M84" s="305"/>
      <c r="AZ84" s="41"/>
    </row>
    <row r="85" spans="1:52" s="43" customFormat="1" ht="18.75" customHeight="1" x14ac:dyDescent="0.3">
      <c r="A85" s="41"/>
      <c r="B85" s="601"/>
      <c r="C85" s="605"/>
      <c r="D85" s="606"/>
      <c r="E85" s="606"/>
      <c r="F85" s="606"/>
      <c r="G85" s="607"/>
      <c r="I85" s="308" t="s">
        <v>573</v>
      </c>
      <c r="K85" s="519">
        <v>1.5126850577451256E-2</v>
      </c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0"/>
      <c r="AF85" s="520"/>
      <c r="AG85" s="520"/>
      <c r="AH85" s="520"/>
      <c r="AI85" s="520"/>
      <c r="AJ85" s="520"/>
      <c r="AK85" s="520"/>
      <c r="AL85" s="520"/>
      <c r="AM85" s="520"/>
      <c r="AN85" s="520"/>
      <c r="AO85" s="520"/>
      <c r="AP85" s="520"/>
      <c r="AQ85" s="520"/>
      <c r="AR85" s="520"/>
      <c r="AS85" s="520"/>
      <c r="AT85" s="520"/>
      <c r="AU85" s="520"/>
      <c r="AV85" s="520"/>
      <c r="AW85" s="520"/>
      <c r="AX85" s="520"/>
      <c r="AY85" s="520"/>
      <c r="AZ85" s="41"/>
    </row>
    <row r="86" spans="1:52" s="43" customFormat="1" ht="18.75" customHeight="1" x14ac:dyDescent="0.3">
      <c r="A86" s="41"/>
      <c r="B86" s="521">
        <f>B84+1</f>
        <v>45</v>
      </c>
      <c r="C86" s="598" t="s">
        <v>579</v>
      </c>
      <c r="D86" s="599"/>
      <c r="E86" s="599"/>
      <c r="F86" s="599"/>
      <c r="G86" s="600"/>
      <c r="I86" s="308" t="s">
        <v>578</v>
      </c>
      <c r="K86" s="519">
        <v>45.35493386002755</v>
      </c>
      <c r="N86" s="476"/>
      <c r="O86" s="476"/>
      <c r="P86" s="476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0"/>
      <c r="AK86" s="520"/>
      <c r="AL86" s="520"/>
      <c r="AM86" s="520"/>
      <c r="AN86" s="520"/>
      <c r="AO86" s="520"/>
      <c r="AP86" s="520"/>
      <c r="AQ86" s="520"/>
      <c r="AR86" s="520"/>
      <c r="AS86" s="520"/>
      <c r="AT86" s="520"/>
      <c r="AU86" s="520"/>
      <c r="AV86" s="520"/>
      <c r="AW86" s="520"/>
      <c r="AX86" s="520"/>
      <c r="AY86" s="520"/>
      <c r="AZ86" s="41"/>
    </row>
    <row r="87" spans="1:52" s="43" customFormat="1" ht="18.75" customHeight="1" thickBot="1" x14ac:dyDescent="0.35">
      <c r="A87" s="41"/>
      <c r="B87" s="300"/>
      <c r="C87" s="306"/>
      <c r="D87" s="306"/>
      <c r="E87" s="306"/>
      <c r="F87" s="306"/>
      <c r="G87" s="306"/>
      <c r="I87" s="305"/>
      <c r="K87" s="305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0"/>
      <c r="AF87" s="520"/>
      <c r="AG87" s="520"/>
      <c r="AH87" s="520"/>
      <c r="AI87" s="520"/>
      <c r="AJ87" s="520"/>
      <c r="AK87" s="520"/>
      <c r="AL87" s="520"/>
      <c r="AM87" s="520"/>
      <c r="AN87" s="520"/>
      <c r="AO87" s="520"/>
      <c r="AP87" s="520"/>
      <c r="AQ87" s="520"/>
      <c r="AR87" s="520"/>
      <c r="AS87" s="520"/>
      <c r="AT87" s="520"/>
      <c r="AU87" s="520"/>
      <c r="AV87" s="520"/>
      <c r="AW87" s="520"/>
      <c r="AX87" s="520"/>
      <c r="AY87" s="520"/>
      <c r="AZ87" s="41"/>
    </row>
    <row r="88" spans="1:52" s="43" customFormat="1" ht="18.75" customHeight="1" thickBot="1" x14ac:dyDescent="0.35">
      <c r="A88" s="41"/>
      <c r="B88" s="300"/>
      <c r="C88" s="609" t="s">
        <v>151</v>
      </c>
      <c r="D88" s="610"/>
      <c r="E88" s="610"/>
      <c r="F88" s="610"/>
      <c r="G88" s="611"/>
      <c r="I88" s="305"/>
      <c r="K88" s="522" t="s">
        <v>156</v>
      </c>
      <c r="L88" s="493"/>
      <c r="M88" s="523" t="s">
        <v>157</v>
      </c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41"/>
    </row>
    <row r="89" spans="1:52" s="43" customFormat="1" ht="18.75" customHeight="1" x14ac:dyDescent="0.3">
      <c r="A89" s="41"/>
      <c r="B89" s="300">
        <f>B86+1</f>
        <v>46</v>
      </c>
      <c r="C89" s="608" t="s">
        <v>456</v>
      </c>
      <c r="D89" s="608"/>
      <c r="E89" s="608"/>
      <c r="F89" s="608"/>
      <c r="G89" s="608"/>
      <c r="I89" s="308" t="s">
        <v>152</v>
      </c>
      <c r="K89" s="513"/>
      <c r="M89" s="513"/>
      <c r="O89" s="503">
        <v>131</v>
      </c>
      <c r="P89" s="503">
        <v>148</v>
      </c>
      <c r="Q89" s="503">
        <v>165</v>
      </c>
      <c r="R89" s="503">
        <v>182</v>
      </c>
      <c r="S89" s="503">
        <v>199</v>
      </c>
      <c r="T89" s="503">
        <v>216</v>
      </c>
      <c r="U89" s="503">
        <v>233</v>
      </c>
      <c r="V89" s="503">
        <v>250</v>
      </c>
      <c r="W89" s="503">
        <v>278</v>
      </c>
      <c r="X89" s="503">
        <v>306</v>
      </c>
      <c r="Y89" s="503">
        <v>334</v>
      </c>
      <c r="Z89" s="503">
        <v>362</v>
      </c>
      <c r="AA89" s="503">
        <v>390</v>
      </c>
      <c r="AB89" s="503">
        <v>417</v>
      </c>
      <c r="AC89" s="503">
        <v>444</v>
      </c>
      <c r="AD89" s="503">
        <v>471</v>
      </c>
      <c r="AE89" s="503">
        <v>498</v>
      </c>
      <c r="AF89" s="503">
        <v>525</v>
      </c>
      <c r="AG89" s="503">
        <v>552</v>
      </c>
      <c r="AH89" s="503">
        <v>579</v>
      </c>
      <c r="AI89" s="503">
        <v>606</v>
      </c>
      <c r="AJ89" s="503">
        <v>633</v>
      </c>
      <c r="AK89" s="503">
        <v>660</v>
      </c>
      <c r="AL89" s="503">
        <v>688</v>
      </c>
      <c r="AM89" s="503">
        <v>716</v>
      </c>
      <c r="AN89" s="503">
        <v>744</v>
      </c>
      <c r="AO89" s="503">
        <v>772</v>
      </c>
      <c r="AP89" s="503">
        <v>800</v>
      </c>
      <c r="AQ89" s="503">
        <v>800</v>
      </c>
      <c r="AR89" s="503">
        <v>800</v>
      </c>
      <c r="AS89" s="503">
        <v>800</v>
      </c>
      <c r="AT89" s="503">
        <v>800</v>
      </c>
      <c r="AU89" s="503">
        <v>800</v>
      </c>
      <c r="AV89" s="503">
        <v>800</v>
      </c>
      <c r="AW89" s="503">
        <v>800</v>
      </c>
      <c r="AX89" s="503">
        <v>800</v>
      </c>
      <c r="AY89" s="503">
        <v>800</v>
      </c>
      <c r="AZ89" s="41"/>
    </row>
    <row r="90" spans="1:52" s="43" customFormat="1" ht="18.75" customHeight="1" x14ac:dyDescent="0.3">
      <c r="A90" s="41"/>
      <c r="B90" s="300">
        <f>B89+1</f>
        <v>47</v>
      </c>
      <c r="C90" s="608" t="s">
        <v>635</v>
      </c>
      <c r="D90" s="608"/>
      <c r="E90" s="608"/>
      <c r="F90" s="608"/>
      <c r="G90" s="608"/>
      <c r="I90" s="308" t="s">
        <v>152</v>
      </c>
      <c r="K90" s="513"/>
      <c r="M90" s="311">
        <f>Liste!C21</f>
        <v>0.79904893207923111</v>
      </c>
      <c r="O90" s="503">
        <f>O89*(1+$M$90)</f>
        <v>235.67541010237929</v>
      </c>
      <c r="P90" s="503">
        <f t="shared" ref="P90:AY90" si="54">P89*(1+$M$90)</f>
        <v>266.2592419477262</v>
      </c>
      <c r="Q90" s="503">
        <f t="shared" si="54"/>
        <v>296.84307379307313</v>
      </c>
      <c r="R90" s="503">
        <f t="shared" si="54"/>
        <v>327.42690563842007</v>
      </c>
      <c r="S90" s="503">
        <f t="shared" si="54"/>
        <v>358.010737483767</v>
      </c>
      <c r="T90" s="503">
        <f t="shared" si="54"/>
        <v>388.59456932911394</v>
      </c>
      <c r="U90" s="503">
        <f t="shared" si="54"/>
        <v>419.17840117446087</v>
      </c>
      <c r="V90" s="503">
        <f t="shared" si="54"/>
        <v>449.76223301980775</v>
      </c>
      <c r="W90" s="503">
        <f t="shared" si="54"/>
        <v>500.13560311802627</v>
      </c>
      <c r="X90" s="503">
        <f t="shared" si="54"/>
        <v>550.50897321624473</v>
      </c>
      <c r="Y90" s="503">
        <f t="shared" si="54"/>
        <v>600.88234331446324</v>
      </c>
      <c r="Z90" s="503">
        <f t="shared" si="54"/>
        <v>651.25571341268164</v>
      </c>
      <c r="AA90" s="503">
        <f t="shared" si="54"/>
        <v>701.62908351090016</v>
      </c>
      <c r="AB90" s="503">
        <f t="shared" si="54"/>
        <v>750.20340467703943</v>
      </c>
      <c r="AC90" s="503">
        <f t="shared" si="54"/>
        <v>798.77772584317859</v>
      </c>
      <c r="AD90" s="503">
        <f t="shared" si="54"/>
        <v>847.35204700931786</v>
      </c>
      <c r="AE90" s="503">
        <f t="shared" si="54"/>
        <v>895.92636817545713</v>
      </c>
      <c r="AF90" s="503">
        <f t="shared" si="54"/>
        <v>944.50068934159628</v>
      </c>
      <c r="AG90" s="503">
        <f t="shared" si="54"/>
        <v>993.07501050773556</v>
      </c>
      <c r="AH90" s="503">
        <f t="shared" si="54"/>
        <v>1041.6493316738747</v>
      </c>
      <c r="AI90" s="503">
        <f t="shared" si="54"/>
        <v>1090.223652840014</v>
      </c>
      <c r="AJ90" s="503">
        <f t="shared" si="54"/>
        <v>1138.7979740061533</v>
      </c>
      <c r="AK90" s="503">
        <f t="shared" si="54"/>
        <v>1187.3722951722925</v>
      </c>
      <c r="AL90" s="503">
        <f t="shared" si="54"/>
        <v>1237.7456652705109</v>
      </c>
      <c r="AM90" s="503">
        <f t="shared" si="54"/>
        <v>1288.1190353687296</v>
      </c>
      <c r="AN90" s="503">
        <f t="shared" si="54"/>
        <v>1338.492405466948</v>
      </c>
      <c r="AO90" s="503">
        <f t="shared" si="54"/>
        <v>1388.8657755651664</v>
      </c>
      <c r="AP90" s="503">
        <f t="shared" si="54"/>
        <v>1439.239145663385</v>
      </c>
      <c r="AQ90" s="503">
        <f t="shared" si="54"/>
        <v>1439.239145663385</v>
      </c>
      <c r="AR90" s="503">
        <f t="shared" si="54"/>
        <v>1439.239145663385</v>
      </c>
      <c r="AS90" s="503">
        <f t="shared" si="54"/>
        <v>1439.239145663385</v>
      </c>
      <c r="AT90" s="503">
        <f t="shared" si="54"/>
        <v>1439.239145663385</v>
      </c>
      <c r="AU90" s="503">
        <f t="shared" si="54"/>
        <v>1439.239145663385</v>
      </c>
      <c r="AV90" s="503">
        <f t="shared" si="54"/>
        <v>1439.239145663385</v>
      </c>
      <c r="AW90" s="503">
        <f t="shared" si="54"/>
        <v>1439.239145663385</v>
      </c>
      <c r="AX90" s="503">
        <f t="shared" si="54"/>
        <v>1439.239145663385</v>
      </c>
      <c r="AY90" s="503">
        <f t="shared" si="54"/>
        <v>1439.239145663385</v>
      </c>
      <c r="AZ90" s="41"/>
    </row>
    <row r="91" spans="1:52" s="43" customFormat="1" ht="18.75" customHeight="1" x14ac:dyDescent="0.3">
      <c r="A91" s="41"/>
      <c r="B91" s="300">
        <f>B90+1</f>
        <v>48</v>
      </c>
      <c r="C91" s="608" t="s">
        <v>154</v>
      </c>
      <c r="D91" s="608"/>
      <c r="E91" s="608"/>
      <c r="F91" s="608"/>
      <c r="G91" s="608"/>
      <c r="I91" s="308" t="s">
        <v>152</v>
      </c>
      <c r="K91" s="524">
        <v>8200</v>
      </c>
      <c r="M91" s="311">
        <f>Liste!D25</f>
        <v>0.45384841619161342</v>
      </c>
      <c r="O91" s="503">
        <f>$K$91*(1+$M$91)</f>
        <v>11921.557012771231</v>
      </c>
      <c r="P91" s="503">
        <f t="shared" ref="P91:AY91" si="55">$K$91*(1+$M$91)</f>
        <v>11921.557012771231</v>
      </c>
      <c r="Q91" s="503">
        <f t="shared" si="55"/>
        <v>11921.557012771231</v>
      </c>
      <c r="R91" s="503">
        <f t="shared" si="55"/>
        <v>11921.557012771231</v>
      </c>
      <c r="S91" s="503">
        <f t="shared" si="55"/>
        <v>11921.557012771231</v>
      </c>
      <c r="T91" s="503">
        <f t="shared" si="55"/>
        <v>11921.557012771231</v>
      </c>
      <c r="U91" s="503">
        <f t="shared" si="55"/>
        <v>11921.557012771231</v>
      </c>
      <c r="V91" s="503">
        <f t="shared" si="55"/>
        <v>11921.557012771231</v>
      </c>
      <c r="W91" s="503">
        <f t="shared" si="55"/>
        <v>11921.557012771231</v>
      </c>
      <c r="X91" s="503">
        <f t="shared" si="55"/>
        <v>11921.557012771231</v>
      </c>
      <c r="Y91" s="503">
        <f t="shared" si="55"/>
        <v>11921.557012771231</v>
      </c>
      <c r="Z91" s="503">
        <f t="shared" si="55"/>
        <v>11921.557012771231</v>
      </c>
      <c r="AA91" s="503">
        <f t="shared" si="55"/>
        <v>11921.557012771231</v>
      </c>
      <c r="AB91" s="503">
        <f t="shared" si="55"/>
        <v>11921.557012771231</v>
      </c>
      <c r="AC91" s="503">
        <f t="shared" si="55"/>
        <v>11921.557012771231</v>
      </c>
      <c r="AD91" s="503">
        <f t="shared" si="55"/>
        <v>11921.557012771231</v>
      </c>
      <c r="AE91" s="503">
        <f t="shared" si="55"/>
        <v>11921.557012771231</v>
      </c>
      <c r="AF91" s="503">
        <f t="shared" si="55"/>
        <v>11921.557012771231</v>
      </c>
      <c r="AG91" s="503">
        <f t="shared" si="55"/>
        <v>11921.557012771231</v>
      </c>
      <c r="AH91" s="503">
        <f t="shared" si="55"/>
        <v>11921.557012771231</v>
      </c>
      <c r="AI91" s="503">
        <f t="shared" si="55"/>
        <v>11921.557012771231</v>
      </c>
      <c r="AJ91" s="503">
        <f t="shared" si="55"/>
        <v>11921.557012771231</v>
      </c>
      <c r="AK91" s="503">
        <f t="shared" si="55"/>
        <v>11921.557012771231</v>
      </c>
      <c r="AL91" s="503">
        <f t="shared" si="55"/>
        <v>11921.557012771231</v>
      </c>
      <c r="AM91" s="503">
        <f t="shared" si="55"/>
        <v>11921.557012771231</v>
      </c>
      <c r="AN91" s="503">
        <f t="shared" si="55"/>
        <v>11921.557012771231</v>
      </c>
      <c r="AO91" s="503">
        <f t="shared" si="55"/>
        <v>11921.557012771231</v>
      </c>
      <c r="AP91" s="503">
        <f t="shared" si="55"/>
        <v>11921.557012771231</v>
      </c>
      <c r="AQ91" s="503">
        <f t="shared" si="55"/>
        <v>11921.557012771231</v>
      </c>
      <c r="AR91" s="503">
        <f t="shared" si="55"/>
        <v>11921.557012771231</v>
      </c>
      <c r="AS91" s="503">
        <f t="shared" si="55"/>
        <v>11921.557012771231</v>
      </c>
      <c r="AT91" s="503">
        <f t="shared" si="55"/>
        <v>11921.557012771231</v>
      </c>
      <c r="AU91" s="503">
        <f t="shared" si="55"/>
        <v>11921.557012771231</v>
      </c>
      <c r="AV91" s="503">
        <f t="shared" si="55"/>
        <v>11921.557012771231</v>
      </c>
      <c r="AW91" s="503">
        <f t="shared" si="55"/>
        <v>11921.557012771231</v>
      </c>
      <c r="AX91" s="503">
        <f t="shared" si="55"/>
        <v>11921.557012771231</v>
      </c>
      <c r="AY91" s="503">
        <f t="shared" si="55"/>
        <v>11921.557012771231</v>
      </c>
      <c r="AZ91" s="41"/>
    </row>
    <row r="92" spans="1:52" s="43" customFormat="1" ht="18.75" customHeight="1" x14ac:dyDescent="0.3">
      <c r="A92" s="41"/>
      <c r="B92" s="300">
        <f t="shared" ref="B92:B93" si="56">B91+1</f>
        <v>49</v>
      </c>
      <c r="C92" s="608" t="s">
        <v>457</v>
      </c>
      <c r="D92" s="608"/>
      <c r="E92" s="608"/>
      <c r="F92" s="608"/>
      <c r="G92" s="608"/>
      <c r="I92" s="308" t="s">
        <v>152</v>
      </c>
      <c r="K92" s="524">
        <v>250</v>
      </c>
      <c r="M92" s="312">
        <f>M91</f>
        <v>0.45384841619161342</v>
      </c>
      <c r="O92" s="503">
        <f>$K$92*(1+$M$92)</f>
        <v>363.46210404790338</v>
      </c>
      <c r="P92" s="503">
        <f t="shared" ref="P92:AY92" si="57">$K$92*(1+$M$92)</f>
        <v>363.46210404790338</v>
      </c>
      <c r="Q92" s="503">
        <f t="shared" si="57"/>
        <v>363.46210404790338</v>
      </c>
      <c r="R92" s="503">
        <f t="shared" si="57"/>
        <v>363.46210404790338</v>
      </c>
      <c r="S92" s="503">
        <f t="shared" si="57"/>
        <v>363.46210404790338</v>
      </c>
      <c r="T92" s="503">
        <f t="shared" si="57"/>
        <v>363.46210404790338</v>
      </c>
      <c r="U92" s="503">
        <f t="shared" si="57"/>
        <v>363.46210404790338</v>
      </c>
      <c r="V92" s="503">
        <f t="shared" si="57"/>
        <v>363.46210404790338</v>
      </c>
      <c r="W92" s="503">
        <f t="shared" si="57"/>
        <v>363.46210404790338</v>
      </c>
      <c r="X92" s="503">
        <f t="shared" si="57"/>
        <v>363.46210404790338</v>
      </c>
      <c r="Y92" s="503">
        <f t="shared" si="57"/>
        <v>363.46210404790338</v>
      </c>
      <c r="Z92" s="503">
        <f t="shared" si="57"/>
        <v>363.46210404790338</v>
      </c>
      <c r="AA92" s="503">
        <f t="shared" si="57"/>
        <v>363.46210404790338</v>
      </c>
      <c r="AB92" s="503">
        <f t="shared" si="57"/>
        <v>363.46210404790338</v>
      </c>
      <c r="AC92" s="503">
        <f t="shared" si="57"/>
        <v>363.46210404790338</v>
      </c>
      <c r="AD92" s="503">
        <f t="shared" si="57"/>
        <v>363.46210404790338</v>
      </c>
      <c r="AE92" s="503">
        <f t="shared" si="57"/>
        <v>363.46210404790338</v>
      </c>
      <c r="AF92" s="503">
        <f t="shared" si="57"/>
        <v>363.46210404790338</v>
      </c>
      <c r="AG92" s="503">
        <f t="shared" si="57"/>
        <v>363.46210404790338</v>
      </c>
      <c r="AH92" s="503">
        <f t="shared" si="57"/>
        <v>363.46210404790338</v>
      </c>
      <c r="AI92" s="503">
        <f t="shared" si="57"/>
        <v>363.46210404790338</v>
      </c>
      <c r="AJ92" s="503">
        <f t="shared" si="57"/>
        <v>363.46210404790338</v>
      </c>
      <c r="AK92" s="503">
        <f t="shared" si="57"/>
        <v>363.46210404790338</v>
      </c>
      <c r="AL92" s="503">
        <f t="shared" si="57"/>
        <v>363.46210404790338</v>
      </c>
      <c r="AM92" s="503">
        <f t="shared" si="57"/>
        <v>363.46210404790338</v>
      </c>
      <c r="AN92" s="503">
        <f t="shared" si="57"/>
        <v>363.46210404790338</v>
      </c>
      <c r="AO92" s="503">
        <f t="shared" si="57"/>
        <v>363.46210404790338</v>
      </c>
      <c r="AP92" s="503">
        <f t="shared" si="57"/>
        <v>363.46210404790338</v>
      </c>
      <c r="AQ92" s="503">
        <f t="shared" si="57"/>
        <v>363.46210404790338</v>
      </c>
      <c r="AR92" s="503">
        <f t="shared" si="57"/>
        <v>363.46210404790338</v>
      </c>
      <c r="AS92" s="503">
        <f t="shared" si="57"/>
        <v>363.46210404790338</v>
      </c>
      <c r="AT92" s="503">
        <f t="shared" si="57"/>
        <v>363.46210404790338</v>
      </c>
      <c r="AU92" s="503">
        <f t="shared" si="57"/>
        <v>363.46210404790338</v>
      </c>
      <c r="AV92" s="503">
        <f t="shared" si="57"/>
        <v>363.46210404790338</v>
      </c>
      <c r="AW92" s="503">
        <f t="shared" si="57"/>
        <v>363.46210404790338</v>
      </c>
      <c r="AX92" s="503">
        <f t="shared" si="57"/>
        <v>363.46210404790338</v>
      </c>
      <c r="AY92" s="503">
        <f t="shared" si="57"/>
        <v>363.46210404790338</v>
      </c>
      <c r="AZ92" s="41"/>
    </row>
    <row r="93" spans="1:52" s="43" customFormat="1" ht="18.75" customHeight="1" x14ac:dyDescent="0.3">
      <c r="A93" s="41"/>
      <c r="B93" s="300">
        <f t="shared" si="56"/>
        <v>50</v>
      </c>
      <c r="C93" s="608" t="s">
        <v>155</v>
      </c>
      <c r="D93" s="608"/>
      <c r="E93" s="608"/>
      <c r="F93" s="608"/>
      <c r="G93" s="608"/>
      <c r="I93" s="308" t="s">
        <v>152</v>
      </c>
      <c r="K93" s="524">
        <v>51000</v>
      </c>
      <c r="M93" s="312">
        <f>M92</f>
        <v>0.45384841619161342</v>
      </c>
      <c r="O93" s="503">
        <f>$K$93*(1+$M$93)</f>
        <v>74146.269225772281</v>
      </c>
      <c r="P93" s="503">
        <f t="shared" ref="P93:AY93" si="58">$K$93*(1+$M$93)</f>
        <v>74146.269225772281</v>
      </c>
      <c r="Q93" s="503">
        <f t="shared" si="58"/>
        <v>74146.269225772281</v>
      </c>
      <c r="R93" s="503">
        <f t="shared" si="58"/>
        <v>74146.269225772281</v>
      </c>
      <c r="S93" s="503">
        <f t="shared" si="58"/>
        <v>74146.269225772281</v>
      </c>
      <c r="T93" s="503">
        <f t="shared" si="58"/>
        <v>74146.269225772281</v>
      </c>
      <c r="U93" s="503">
        <f t="shared" si="58"/>
        <v>74146.269225772281</v>
      </c>
      <c r="V93" s="503">
        <f t="shared" si="58"/>
        <v>74146.269225772281</v>
      </c>
      <c r="W93" s="503">
        <f t="shared" si="58"/>
        <v>74146.269225772281</v>
      </c>
      <c r="X93" s="503">
        <f t="shared" si="58"/>
        <v>74146.269225772281</v>
      </c>
      <c r="Y93" s="503">
        <f t="shared" si="58"/>
        <v>74146.269225772281</v>
      </c>
      <c r="Z93" s="503">
        <f t="shared" si="58"/>
        <v>74146.269225772281</v>
      </c>
      <c r="AA93" s="503">
        <f t="shared" si="58"/>
        <v>74146.269225772281</v>
      </c>
      <c r="AB93" s="503">
        <f t="shared" si="58"/>
        <v>74146.269225772281</v>
      </c>
      <c r="AC93" s="503">
        <f t="shared" si="58"/>
        <v>74146.269225772281</v>
      </c>
      <c r="AD93" s="503">
        <f t="shared" si="58"/>
        <v>74146.269225772281</v>
      </c>
      <c r="AE93" s="503">
        <f t="shared" si="58"/>
        <v>74146.269225772281</v>
      </c>
      <c r="AF93" s="503">
        <f t="shared" si="58"/>
        <v>74146.269225772281</v>
      </c>
      <c r="AG93" s="503">
        <f t="shared" si="58"/>
        <v>74146.269225772281</v>
      </c>
      <c r="AH93" s="503">
        <f t="shared" si="58"/>
        <v>74146.269225772281</v>
      </c>
      <c r="AI93" s="503">
        <f t="shared" si="58"/>
        <v>74146.269225772281</v>
      </c>
      <c r="AJ93" s="503">
        <f t="shared" si="58"/>
        <v>74146.269225772281</v>
      </c>
      <c r="AK93" s="503">
        <f t="shared" si="58"/>
        <v>74146.269225772281</v>
      </c>
      <c r="AL93" s="503">
        <f t="shared" si="58"/>
        <v>74146.269225772281</v>
      </c>
      <c r="AM93" s="503">
        <f t="shared" si="58"/>
        <v>74146.269225772281</v>
      </c>
      <c r="AN93" s="503">
        <f t="shared" si="58"/>
        <v>74146.269225772281</v>
      </c>
      <c r="AO93" s="503">
        <f t="shared" si="58"/>
        <v>74146.269225772281</v>
      </c>
      <c r="AP93" s="503">
        <f t="shared" si="58"/>
        <v>74146.269225772281</v>
      </c>
      <c r="AQ93" s="503">
        <f t="shared" si="58"/>
        <v>74146.269225772281</v>
      </c>
      <c r="AR93" s="503">
        <f t="shared" si="58"/>
        <v>74146.269225772281</v>
      </c>
      <c r="AS93" s="503">
        <f t="shared" si="58"/>
        <v>74146.269225772281</v>
      </c>
      <c r="AT93" s="503">
        <f t="shared" si="58"/>
        <v>74146.269225772281</v>
      </c>
      <c r="AU93" s="503">
        <f t="shared" si="58"/>
        <v>74146.269225772281</v>
      </c>
      <c r="AV93" s="503">
        <f t="shared" si="58"/>
        <v>74146.269225772281</v>
      </c>
      <c r="AW93" s="503">
        <f t="shared" si="58"/>
        <v>74146.269225772281</v>
      </c>
      <c r="AX93" s="503">
        <f t="shared" si="58"/>
        <v>74146.269225772281</v>
      </c>
      <c r="AY93" s="503">
        <f t="shared" si="58"/>
        <v>74146.269225772281</v>
      </c>
      <c r="AZ93" s="41"/>
    </row>
    <row r="94" spans="1:52" s="43" customFormat="1" ht="18.75" customHeight="1" x14ac:dyDescent="0.3">
      <c r="A94" s="41"/>
      <c r="B94" s="300"/>
      <c r="C94" s="306"/>
      <c r="D94" s="306"/>
      <c r="E94" s="306"/>
      <c r="F94" s="306"/>
      <c r="G94" s="306"/>
      <c r="I94" s="305"/>
      <c r="K94" s="305"/>
      <c r="AB94" s="38"/>
      <c r="AZ94" s="41"/>
    </row>
    <row r="95" spans="1:52" s="43" customFormat="1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</row>
    <row r="96" spans="1:52" s="43" customFormat="1" ht="13.5" x14ac:dyDescent="0.25">
      <c r="B96" s="296"/>
    </row>
    <row r="97" spans="2:2" s="43" customFormat="1" ht="13.5" x14ac:dyDescent="0.25">
      <c r="B97" s="296"/>
    </row>
    <row r="98" spans="2:2" s="43" customFormat="1" ht="13.5" x14ac:dyDescent="0.25">
      <c r="B98" s="296"/>
    </row>
    <row r="99" spans="2:2" s="43" customFormat="1" ht="13.5" x14ac:dyDescent="0.25">
      <c r="B99" s="296"/>
    </row>
    <row r="100" spans="2:2" s="43" customFormat="1" ht="13.5" x14ac:dyDescent="0.25">
      <c r="B100" s="296"/>
    </row>
    <row r="101" spans="2:2" s="43" customFormat="1" ht="13.5" x14ac:dyDescent="0.25">
      <c r="B101" s="296"/>
    </row>
    <row r="102" spans="2:2" s="43" customFormat="1" ht="13.5" x14ac:dyDescent="0.25">
      <c r="B102" s="296"/>
    </row>
    <row r="103" spans="2:2" s="43" customFormat="1" ht="13.5" x14ac:dyDescent="0.25">
      <c r="B103" s="296"/>
    </row>
    <row r="104" spans="2:2" s="43" customFormat="1" ht="13.5" x14ac:dyDescent="0.25">
      <c r="B104" s="296"/>
    </row>
    <row r="105" spans="2:2" s="43" customFormat="1" ht="13.5" x14ac:dyDescent="0.25">
      <c r="B105" s="296"/>
    </row>
    <row r="106" spans="2:2" s="43" customFormat="1" ht="13.5" x14ac:dyDescent="0.25">
      <c r="B106" s="296"/>
    </row>
    <row r="107" spans="2:2" s="43" customFormat="1" ht="13.5" x14ac:dyDescent="0.25">
      <c r="B107" s="296"/>
    </row>
    <row r="108" spans="2:2" s="43" customFormat="1" ht="13.5" x14ac:dyDescent="0.25">
      <c r="B108" s="296"/>
    </row>
    <row r="109" spans="2:2" s="43" customFormat="1" ht="13.5" x14ac:dyDescent="0.25">
      <c r="B109" s="296"/>
    </row>
    <row r="110" spans="2:2" s="43" customFormat="1" ht="13.5" x14ac:dyDescent="0.25">
      <c r="B110" s="296"/>
    </row>
    <row r="111" spans="2:2" s="43" customFormat="1" ht="13.5" x14ac:dyDescent="0.25">
      <c r="B111" s="296"/>
    </row>
    <row r="112" spans="2:2" s="43" customFormat="1" ht="13.5" x14ac:dyDescent="0.25">
      <c r="B112" s="296"/>
    </row>
    <row r="113" spans="2:2" s="43" customFormat="1" ht="13.5" x14ac:dyDescent="0.25">
      <c r="B113" s="296"/>
    </row>
    <row r="114" spans="2:2" s="43" customFormat="1" ht="13.5" x14ac:dyDescent="0.25">
      <c r="B114" s="296"/>
    </row>
    <row r="115" spans="2:2" s="43" customFormat="1" ht="13.5" x14ac:dyDescent="0.25">
      <c r="B115" s="296"/>
    </row>
    <row r="116" spans="2:2" s="43" customFormat="1" ht="13.5" x14ac:dyDescent="0.25">
      <c r="B116" s="296"/>
    </row>
    <row r="117" spans="2:2" s="43" customFormat="1" ht="13.5" x14ac:dyDescent="0.25">
      <c r="B117" s="296"/>
    </row>
    <row r="118" spans="2:2" s="43" customFormat="1" ht="13.5" x14ac:dyDescent="0.25">
      <c r="B118" s="296"/>
    </row>
    <row r="119" spans="2:2" s="43" customFormat="1" ht="13.5" x14ac:dyDescent="0.25">
      <c r="B119" s="296"/>
    </row>
    <row r="120" spans="2:2" s="43" customFormat="1" ht="13.5" x14ac:dyDescent="0.25">
      <c r="B120" s="296"/>
    </row>
    <row r="121" spans="2:2" s="43" customFormat="1" ht="13.5" x14ac:dyDescent="0.25">
      <c r="B121" s="296"/>
    </row>
    <row r="122" spans="2:2" s="43" customFormat="1" ht="13.5" x14ac:dyDescent="0.25">
      <c r="B122" s="296"/>
    </row>
    <row r="123" spans="2:2" s="43" customFormat="1" ht="13.5" x14ac:dyDescent="0.25">
      <c r="B123" s="296"/>
    </row>
    <row r="124" spans="2:2" s="43" customFormat="1" ht="13.5" x14ac:dyDescent="0.25">
      <c r="B124" s="296"/>
    </row>
    <row r="125" spans="2:2" s="43" customFormat="1" ht="13.5" x14ac:dyDescent="0.25">
      <c r="B125" s="296"/>
    </row>
    <row r="126" spans="2:2" s="43" customFormat="1" ht="13.5" x14ac:dyDescent="0.25">
      <c r="B126" s="296"/>
    </row>
    <row r="127" spans="2:2" s="43" customFormat="1" ht="13.5" x14ac:dyDescent="0.25">
      <c r="B127" s="296"/>
    </row>
    <row r="128" spans="2:2" s="43" customFormat="1" ht="13.5" x14ac:dyDescent="0.25">
      <c r="B128" s="296"/>
    </row>
    <row r="129" spans="2:2" s="43" customFormat="1" ht="13.5" x14ac:dyDescent="0.25">
      <c r="B129" s="296"/>
    </row>
    <row r="130" spans="2:2" s="43" customFormat="1" ht="13.5" x14ac:dyDescent="0.25">
      <c r="B130" s="296"/>
    </row>
    <row r="131" spans="2:2" s="43" customFormat="1" ht="13.5" x14ac:dyDescent="0.25">
      <c r="B131" s="296"/>
    </row>
    <row r="132" spans="2:2" s="43" customFormat="1" ht="13.5" x14ac:dyDescent="0.25">
      <c r="B132" s="296"/>
    </row>
    <row r="133" spans="2:2" s="43" customFormat="1" ht="13.5" x14ac:dyDescent="0.25">
      <c r="B133" s="296"/>
    </row>
    <row r="134" spans="2:2" s="43" customFormat="1" ht="13.5" x14ac:dyDescent="0.25">
      <c r="B134" s="296"/>
    </row>
    <row r="135" spans="2:2" s="43" customFormat="1" ht="13.5" x14ac:dyDescent="0.25">
      <c r="B135" s="296"/>
    </row>
    <row r="136" spans="2:2" s="43" customFormat="1" ht="13.5" x14ac:dyDescent="0.25">
      <c r="B136" s="296"/>
    </row>
    <row r="137" spans="2:2" s="43" customFormat="1" ht="13.5" x14ac:dyDescent="0.25">
      <c r="B137" s="296"/>
    </row>
    <row r="138" spans="2:2" s="43" customFormat="1" ht="13.5" x14ac:dyDescent="0.25">
      <c r="B138" s="296"/>
    </row>
    <row r="139" spans="2:2" s="43" customFormat="1" ht="13.5" x14ac:dyDescent="0.25">
      <c r="B139" s="296"/>
    </row>
    <row r="140" spans="2:2" s="43" customFormat="1" ht="13.5" x14ac:dyDescent="0.25">
      <c r="B140" s="296"/>
    </row>
    <row r="141" spans="2:2" s="43" customFormat="1" ht="13.5" x14ac:dyDescent="0.25">
      <c r="B141" s="296"/>
    </row>
    <row r="142" spans="2:2" s="43" customFormat="1" ht="13.5" x14ac:dyDescent="0.25">
      <c r="B142" s="296"/>
    </row>
    <row r="143" spans="2:2" s="43" customFormat="1" ht="13.5" x14ac:dyDescent="0.25">
      <c r="B143" s="296"/>
    </row>
    <row r="144" spans="2:2" s="43" customFormat="1" ht="13.5" x14ac:dyDescent="0.25">
      <c r="B144" s="296"/>
    </row>
    <row r="145" spans="2:2" s="43" customFormat="1" ht="13.5" x14ac:dyDescent="0.25">
      <c r="B145" s="296"/>
    </row>
    <row r="146" spans="2:2" s="43" customFormat="1" ht="13.5" x14ac:dyDescent="0.25">
      <c r="B146" s="296"/>
    </row>
    <row r="147" spans="2:2" s="43" customFormat="1" ht="13.5" x14ac:dyDescent="0.25">
      <c r="B147" s="296"/>
    </row>
    <row r="148" spans="2:2" s="43" customFormat="1" ht="13.5" x14ac:dyDescent="0.25">
      <c r="B148" s="296"/>
    </row>
    <row r="149" spans="2:2" s="43" customFormat="1" ht="13.5" x14ac:dyDescent="0.25">
      <c r="B149" s="296"/>
    </row>
    <row r="150" spans="2:2" s="43" customFormat="1" ht="13.5" x14ac:dyDescent="0.25">
      <c r="B150" s="296"/>
    </row>
    <row r="151" spans="2:2" s="43" customFormat="1" ht="13.5" x14ac:dyDescent="0.25">
      <c r="B151" s="296"/>
    </row>
    <row r="152" spans="2:2" s="43" customFormat="1" ht="13.5" x14ac:dyDescent="0.25">
      <c r="B152" s="296"/>
    </row>
    <row r="153" spans="2:2" s="43" customFormat="1" ht="13.5" x14ac:dyDescent="0.25">
      <c r="B153" s="296"/>
    </row>
    <row r="154" spans="2:2" s="43" customFormat="1" ht="13.5" x14ac:dyDescent="0.25">
      <c r="B154" s="296"/>
    </row>
    <row r="155" spans="2:2" s="43" customFormat="1" ht="13.5" x14ac:dyDescent="0.25">
      <c r="B155" s="296"/>
    </row>
    <row r="156" spans="2:2" s="43" customFormat="1" ht="13.5" x14ac:dyDescent="0.25">
      <c r="B156" s="296"/>
    </row>
    <row r="157" spans="2:2" s="43" customFormat="1" ht="13.5" x14ac:dyDescent="0.25">
      <c r="B157" s="296"/>
    </row>
    <row r="158" spans="2:2" s="43" customFormat="1" ht="13.5" x14ac:dyDescent="0.25">
      <c r="B158" s="296"/>
    </row>
    <row r="159" spans="2:2" s="43" customFormat="1" ht="13.5" x14ac:dyDescent="0.25">
      <c r="B159" s="296"/>
    </row>
    <row r="160" spans="2:2" s="43" customFormat="1" ht="13.5" x14ac:dyDescent="0.25">
      <c r="B160" s="296"/>
    </row>
    <row r="161" spans="2:2" s="43" customFormat="1" ht="13.5" x14ac:dyDescent="0.25">
      <c r="B161" s="296"/>
    </row>
    <row r="162" spans="2:2" s="43" customFormat="1" ht="13.5" x14ac:dyDescent="0.25">
      <c r="B162" s="296"/>
    </row>
    <row r="163" spans="2:2" s="43" customFormat="1" ht="13.5" x14ac:dyDescent="0.25">
      <c r="B163" s="296"/>
    </row>
    <row r="164" spans="2:2" s="43" customFormat="1" ht="13.5" x14ac:dyDescent="0.25">
      <c r="B164" s="296"/>
    </row>
    <row r="165" spans="2:2" s="43" customFormat="1" ht="13.5" x14ac:dyDescent="0.25">
      <c r="B165" s="296"/>
    </row>
    <row r="166" spans="2:2" s="43" customFormat="1" ht="13.5" x14ac:dyDescent="0.25">
      <c r="B166" s="296"/>
    </row>
    <row r="167" spans="2:2" s="43" customFormat="1" ht="13.5" x14ac:dyDescent="0.25">
      <c r="B167" s="296"/>
    </row>
    <row r="168" spans="2:2" s="43" customFormat="1" ht="13.5" x14ac:dyDescent="0.25">
      <c r="B168" s="296"/>
    </row>
    <row r="169" spans="2:2" s="43" customFormat="1" ht="13.5" x14ac:dyDescent="0.25">
      <c r="B169" s="296"/>
    </row>
    <row r="170" spans="2:2" s="43" customFormat="1" ht="13.5" x14ac:dyDescent="0.25">
      <c r="B170" s="296"/>
    </row>
    <row r="171" spans="2:2" s="43" customFormat="1" ht="13.5" x14ac:dyDescent="0.25">
      <c r="B171" s="296"/>
    </row>
    <row r="172" spans="2:2" s="43" customFormat="1" ht="13.5" x14ac:dyDescent="0.25">
      <c r="B172" s="296"/>
    </row>
    <row r="173" spans="2:2" s="43" customFormat="1" ht="13.5" x14ac:dyDescent="0.25">
      <c r="B173" s="296"/>
    </row>
  </sheetData>
  <sheetProtection algorithmName="SHA-512" hashValue="SOM+pR8YBs/iKEv3nKSBH3tP8U24EBjJ4Y5IkvmMeYtz9qY9FR4i4NEfi5Ue+8CYD0Qmq2B53Hf7LUEdUx7J0Q==" saltValue="l+7GP0TFR4P/+g3wsRBTbQ==" spinCount="100000" sheet="1" objects="1" scenarios="1"/>
  <mergeCells count="72">
    <mergeCell ref="M3:N3"/>
    <mergeCell ref="D4:I4"/>
    <mergeCell ref="C30:H30"/>
    <mergeCell ref="C17:G17"/>
    <mergeCell ref="C10:G10"/>
    <mergeCell ref="C15:G15"/>
    <mergeCell ref="C16:G16"/>
    <mergeCell ref="D3:I3"/>
    <mergeCell ref="C23:G23"/>
    <mergeCell ref="C25:G25"/>
    <mergeCell ref="C8:H8"/>
    <mergeCell ref="C18:G18"/>
    <mergeCell ref="C47:H47"/>
    <mergeCell ref="C37:G37"/>
    <mergeCell ref="C32:G32"/>
    <mergeCell ref="C68:G68"/>
    <mergeCell ref="C69:G70"/>
    <mergeCell ref="C65:G65"/>
    <mergeCell ref="C66:G66"/>
    <mergeCell ref="C51:G51"/>
    <mergeCell ref="C52:G52"/>
    <mergeCell ref="C60:G60"/>
    <mergeCell ref="C63:G63"/>
    <mergeCell ref="C64:G64"/>
    <mergeCell ref="C67:G67"/>
    <mergeCell ref="C34:G34"/>
    <mergeCell ref="C55:H55"/>
    <mergeCell ref="C58:G58"/>
    <mergeCell ref="C61:G61"/>
    <mergeCell ref="C80:G80"/>
    <mergeCell ref="C59:G59"/>
    <mergeCell ref="P3:AY3"/>
    <mergeCell ref="C22:G22"/>
    <mergeCell ref="C11:G11"/>
    <mergeCell ref="C13:G13"/>
    <mergeCell ref="C57:G57"/>
    <mergeCell ref="C42:G42"/>
    <mergeCell ref="C43:G43"/>
    <mergeCell ref="C44:G44"/>
    <mergeCell ref="C49:G49"/>
    <mergeCell ref="C50:G50"/>
    <mergeCell ref="C36:G36"/>
    <mergeCell ref="C19:G19"/>
    <mergeCell ref="C20:G20"/>
    <mergeCell ref="C40:G40"/>
    <mergeCell ref="C41:G41"/>
    <mergeCell ref="C33:G33"/>
    <mergeCell ref="C92:G92"/>
    <mergeCell ref="C93:G93"/>
    <mergeCell ref="C81:G81"/>
    <mergeCell ref="C88:G88"/>
    <mergeCell ref="C89:G89"/>
    <mergeCell ref="C90:G90"/>
    <mergeCell ref="C91:G91"/>
    <mergeCell ref="C82:G82"/>
    <mergeCell ref="C83:G83"/>
    <mergeCell ref="C76:G76"/>
    <mergeCell ref="C27:G27"/>
    <mergeCell ref="B84:B85"/>
    <mergeCell ref="C86:G86"/>
    <mergeCell ref="C77:G77"/>
    <mergeCell ref="C78:G78"/>
    <mergeCell ref="C79:G79"/>
    <mergeCell ref="C84:G85"/>
    <mergeCell ref="B69:B70"/>
    <mergeCell ref="C71:G71"/>
    <mergeCell ref="C73:G73"/>
    <mergeCell ref="C74:G74"/>
    <mergeCell ref="C75:G75"/>
    <mergeCell ref="C72:G72"/>
    <mergeCell ref="C35:G35"/>
    <mergeCell ref="C62:G62"/>
  </mergeCells>
  <phoneticPr fontId="10" type="noConversion"/>
  <pageMargins left="0.25" right="0.25" top="0.75" bottom="0.75" header="0.3" footer="0.3"/>
  <pageSetup paperSize="9" scale="1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7858CD-1150-417A-86D5-2F04F9FC263E}">
          <x14:formula1>
            <xm:f>Liste!$B$2:$B$3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F899-8B40-45C4-9017-D03EE5557A3D}">
  <dimension ref="B2:S25"/>
  <sheetViews>
    <sheetView workbookViewId="0">
      <selection activeCell="C21" sqref="C21"/>
    </sheetView>
  </sheetViews>
  <sheetFormatPr defaultRowHeight="15" x14ac:dyDescent="0.25"/>
  <cols>
    <col min="2" max="2" width="13.140625" customWidth="1"/>
  </cols>
  <sheetData>
    <row r="2" spans="2:12" x14ac:dyDescent="0.25">
      <c r="B2" t="s">
        <v>127</v>
      </c>
    </row>
    <row r="3" spans="2:12" x14ac:dyDescent="0.25">
      <c r="B3" t="s">
        <v>128</v>
      </c>
    </row>
    <row r="5" spans="2:12" x14ac:dyDescent="0.25">
      <c r="C5" s="628" t="s">
        <v>146</v>
      </c>
      <c r="D5" s="628"/>
      <c r="E5" s="628" t="s">
        <v>147</v>
      </c>
      <c r="F5" s="628"/>
      <c r="G5" s="628" t="s">
        <v>148</v>
      </c>
      <c r="H5" s="628"/>
    </row>
    <row r="6" spans="2:12" x14ac:dyDescent="0.25">
      <c r="C6" s="1" t="s">
        <v>149</v>
      </c>
      <c r="D6" s="1" t="s">
        <v>15</v>
      </c>
      <c r="E6" s="1" t="s">
        <v>149</v>
      </c>
      <c r="F6" s="1" t="s">
        <v>15</v>
      </c>
      <c r="G6" s="1" t="s">
        <v>149</v>
      </c>
      <c r="H6" s="1" t="s">
        <v>15</v>
      </c>
      <c r="I6" s="1" t="s">
        <v>149</v>
      </c>
      <c r="J6" s="1" t="s">
        <v>15</v>
      </c>
      <c r="K6" s="1" t="s">
        <v>149</v>
      </c>
      <c r="L6" s="1" t="s">
        <v>15</v>
      </c>
    </row>
    <row r="7" spans="2:12" x14ac:dyDescent="0.25">
      <c r="B7" s="2">
        <v>44835</v>
      </c>
      <c r="C7">
        <v>206.17</v>
      </c>
      <c r="D7" s="3">
        <v>0.44259999999999999</v>
      </c>
      <c r="E7">
        <v>230.21</v>
      </c>
      <c r="F7" s="3">
        <f>2.37%+6.5%</f>
        <v>8.8700000000000001E-2</v>
      </c>
      <c r="G7">
        <v>106.53</v>
      </c>
      <c r="H7" s="3">
        <v>0.39069999999999999</v>
      </c>
      <c r="I7">
        <v>55.11</v>
      </c>
      <c r="J7" s="3">
        <v>3.04E-2</v>
      </c>
      <c r="K7">
        <v>112.18</v>
      </c>
      <c r="L7" s="3">
        <v>4.7600000000000003E-2</v>
      </c>
    </row>
    <row r="9" spans="2:12" ht="15.75" customHeight="1" x14ac:dyDescent="0.25"/>
    <row r="10" spans="2:12" s="4" customFormat="1" x14ac:dyDescent="0.25">
      <c r="C10" s="4">
        <v>3.0000000000000001E-3</v>
      </c>
      <c r="D10" s="4">
        <v>3.8999999999999998E-3</v>
      </c>
      <c r="E10" s="4">
        <v>2.4E-2</v>
      </c>
      <c r="F10" s="4">
        <v>6.0000000000000001E-3</v>
      </c>
      <c r="G10" s="4">
        <v>8.0000000000000002E-3</v>
      </c>
      <c r="H10" s="4">
        <v>8.0000000000000002E-3</v>
      </c>
      <c r="I10" s="4">
        <v>1E-3</v>
      </c>
      <c r="J10" s="4">
        <v>6.0000000000000001E-3</v>
      </c>
      <c r="K10" s="4">
        <v>1.2E-2</v>
      </c>
      <c r="L10" s="4">
        <v>1.4999999999999999E-2</v>
      </c>
    </row>
    <row r="11" spans="2:12" x14ac:dyDescent="0.25">
      <c r="D11" s="5">
        <f>(1+C10)*(1+D10)-1</f>
        <v>6.9116999999998541E-3</v>
      </c>
      <c r="E11" s="5">
        <f>D11*(1+E10)</f>
        <v>7.0775807999998511E-3</v>
      </c>
      <c r="F11" s="5">
        <f t="shared" ref="F11:L11" si="0">E11*(1+F10)</f>
        <v>7.12004628479985E-3</v>
      </c>
      <c r="G11" s="5">
        <f t="shared" si="0"/>
        <v>7.1770066550782491E-3</v>
      </c>
      <c r="H11" s="5">
        <f t="shared" si="0"/>
        <v>7.2344227083188748E-3</v>
      </c>
      <c r="I11" s="5">
        <f t="shared" si="0"/>
        <v>7.2416571310271929E-3</v>
      </c>
      <c r="J11" s="5">
        <f t="shared" si="0"/>
        <v>7.2851070738133563E-3</v>
      </c>
      <c r="K11" s="5">
        <f t="shared" si="0"/>
        <v>7.372528358699117E-3</v>
      </c>
      <c r="L11" s="5">
        <f t="shared" si="0"/>
        <v>7.4831162840796033E-3</v>
      </c>
    </row>
    <row r="12" spans="2:12" x14ac:dyDescent="0.25">
      <c r="C12" s="275">
        <v>0.23169999999999999</v>
      </c>
    </row>
    <row r="13" spans="2:12" x14ac:dyDescent="0.25">
      <c r="B13" t="s">
        <v>153</v>
      </c>
      <c r="C13" s="5">
        <v>0.16830000000000001</v>
      </c>
    </row>
    <row r="14" spans="2:12" x14ac:dyDescent="0.25">
      <c r="B14">
        <v>2021</v>
      </c>
      <c r="C14" s="4">
        <v>7.7700000000000005E-2</v>
      </c>
    </row>
    <row r="15" spans="2:12" x14ac:dyDescent="0.25">
      <c r="B15">
        <v>2020</v>
      </c>
      <c r="C15" s="4">
        <v>5.0500000000000003E-2</v>
      </c>
    </row>
    <row r="16" spans="2:12" x14ac:dyDescent="0.25">
      <c r="B16">
        <v>2019</v>
      </c>
      <c r="C16" s="4">
        <v>4.7899999999999998E-2</v>
      </c>
    </row>
    <row r="17" spans="2:19" x14ac:dyDescent="0.25">
      <c r="B17">
        <v>2018</v>
      </c>
      <c r="C17" s="4">
        <v>3.5499999999999997E-2</v>
      </c>
    </row>
    <row r="18" spans="2:19" x14ac:dyDescent="0.25">
      <c r="B18">
        <v>2017</v>
      </c>
      <c r="C18" s="4">
        <v>1.77E-2</v>
      </c>
    </row>
    <row r="19" spans="2:19" x14ac:dyDescent="0.25">
      <c r="B19">
        <v>2016</v>
      </c>
      <c r="C19" s="4">
        <v>0</v>
      </c>
    </row>
    <row r="20" spans="2:19" ht="15.75" thickBot="1" x14ac:dyDescent="0.3"/>
    <row r="21" spans="2:19" ht="15.75" thickBot="1" x14ac:dyDescent="0.3">
      <c r="C21" s="6">
        <f>(1+C19)*(1+C18)*(1+C17)*(1+C16)*(1+C15)*(1+C14)*(1+C13)*(1+C12)-1</f>
        <v>0.79904893207923111</v>
      </c>
    </row>
    <row r="23" spans="2:19" x14ac:dyDescent="0.25">
      <c r="C23">
        <v>2007</v>
      </c>
      <c r="D23">
        <f>C23+1</f>
        <v>2008</v>
      </c>
      <c r="E23">
        <f t="shared" ref="E23:S23" si="1">D23+1</f>
        <v>2009</v>
      </c>
      <c r="F23">
        <f t="shared" si="1"/>
        <v>2010</v>
      </c>
      <c r="G23">
        <f t="shared" si="1"/>
        <v>2011</v>
      </c>
      <c r="H23">
        <f t="shared" si="1"/>
        <v>2012</v>
      </c>
      <c r="I23">
        <f t="shared" si="1"/>
        <v>2013</v>
      </c>
      <c r="J23">
        <f t="shared" si="1"/>
        <v>2014</v>
      </c>
      <c r="K23">
        <f t="shared" si="1"/>
        <v>2015</v>
      </c>
      <c r="L23">
        <f t="shared" si="1"/>
        <v>2016</v>
      </c>
      <c r="M23">
        <f t="shared" si="1"/>
        <v>2017</v>
      </c>
      <c r="N23">
        <f t="shared" si="1"/>
        <v>2018</v>
      </c>
      <c r="O23">
        <f t="shared" si="1"/>
        <v>2019</v>
      </c>
      <c r="P23">
        <f t="shared" si="1"/>
        <v>2020</v>
      </c>
      <c r="Q23">
        <f t="shared" si="1"/>
        <v>2021</v>
      </c>
      <c r="R23">
        <f t="shared" si="1"/>
        <v>2022</v>
      </c>
      <c r="S23">
        <f t="shared" si="1"/>
        <v>2023</v>
      </c>
    </row>
    <row r="24" spans="2:19" s="5" customFormat="1" ht="15.75" thickBot="1" x14ac:dyDescent="0.3">
      <c r="C24" s="5">
        <v>2.1000000000000001E-2</v>
      </c>
      <c r="D24" s="5">
        <v>3.3000000000000002E-2</v>
      </c>
      <c r="E24" s="5">
        <v>3.0000000000000001E-3</v>
      </c>
      <c r="F24" s="5">
        <v>1.6E-2</v>
      </c>
      <c r="G24" s="5">
        <v>2.7E-2</v>
      </c>
      <c r="H24" s="5">
        <v>2.5000000000000001E-2</v>
      </c>
      <c r="I24" s="5">
        <v>1.4E-2</v>
      </c>
      <c r="J24" s="5">
        <v>4.0000000000000001E-3</v>
      </c>
      <c r="K24" s="5">
        <v>2E-3</v>
      </c>
      <c r="L24" s="5">
        <v>2E-3</v>
      </c>
      <c r="M24" s="5">
        <v>1.4999999999999999E-2</v>
      </c>
      <c r="N24" s="5">
        <v>1.7999999999999999E-2</v>
      </c>
      <c r="O24" s="5">
        <v>1.2E-2</v>
      </c>
      <c r="P24" s="5">
        <v>3.0000000000000001E-3</v>
      </c>
      <c r="Q24" s="5">
        <v>2.5999999999999999E-2</v>
      </c>
      <c r="R24" s="5">
        <f>C13</f>
        <v>0.16830000000000001</v>
      </c>
      <c r="S24" s="5">
        <f>D13</f>
        <v>0</v>
      </c>
    </row>
    <row r="25" spans="2:19" ht="15.75" thickBot="1" x14ac:dyDescent="0.3">
      <c r="D25" s="6">
        <f>(1+C24)*(1+D24)*(1+E24)*(1+F24)*(1+G24)*(1+H24)*(I24+1)*(1+J24)*(1+K24)*(1+L24)*(1+M24)*(1+N24)*(1+O24)*(1+P24)*(1+Q24)*(1+R24)-1</f>
        <v>0.45384841619161342</v>
      </c>
    </row>
  </sheetData>
  <mergeCells count="3">
    <mergeCell ref="C5:D5"/>
    <mergeCell ref="E5:F5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066F-0D9E-4F57-98AC-E13E64E80E9C}">
  <sheetPr codeName="Foaie5">
    <pageSetUpPr fitToPage="1"/>
  </sheetPr>
  <dimension ref="A2:AT87"/>
  <sheetViews>
    <sheetView topLeftCell="P35" zoomScale="82" zoomScaleNormal="82" workbookViewId="0">
      <selection activeCell="AC25" sqref="AC25"/>
    </sheetView>
  </sheetViews>
  <sheetFormatPr defaultColWidth="9.140625" defaultRowHeight="16.5" x14ac:dyDescent="0.3"/>
  <cols>
    <col min="1" max="1" width="4" style="47" customWidth="1"/>
    <col min="2" max="2" width="5.140625" style="47" customWidth="1"/>
    <col min="3" max="3" width="44.28515625" style="47" customWidth="1"/>
    <col min="4" max="4" width="5.42578125" style="47" customWidth="1"/>
    <col min="5" max="5" width="15.28515625" style="47" customWidth="1"/>
    <col min="6" max="6" width="5.85546875" style="47" customWidth="1"/>
    <col min="7" max="8" width="12" style="47" hidden="1" customWidth="1"/>
    <col min="9" max="9" width="14.28515625" style="147" bestFit="1" customWidth="1"/>
    <col min="10" max="39" width="12" style="47" bestFit="1" customWidth="1"/>
    <col min="40" max="41" width="12" style="47" hidden="1" customWidth="1"/>
    <col min="42" max="16384" width="9.140625" style="47"/>
  </cols>
  <sheetData>
    <row r="2" spans="1:46" s="38" customFormat="1" ht="22.5" customHeight="1" x14ac:dyDescent="0.3">
      <c r="C2" s="647" t="str">
        <f>'1.Input'!D3</f>
        <v>PRIMARIA MUNICIPIULUI SUCEAVA</v>
      </c>
      <c r="D2" s="647"/>
      <c r="E2" s="647"/>
      <c r="F2" s="47"/>
      <c r="G2" s="622" t="s">
        <v>3</v>
      </c>
      <c r="H2" s="623"/>
      <c r="I2" s="39" t="s">
        <v>17</v>
      </c>
      <c r="J2" s="639" t="s">
        <v>18</v>
      </c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1"/>
      <c r="AT2" s="48"/>
    </row>
    <row r="3" spans="1:46" s="38" customFormat="1" ht="32.25" customHeight="1" x14ac:dyDescent="0.3">
      <c r="C3" s="648" t="str">
        <f>'1.Input'!D4</f>
        <v>Reabilitarea sistemului de transport și distribuție energie termică în municipiul Suceava</v>
      </c>
      <c r="D3" s="648"/>
      <c r="E3" s="648"/>
      <c r="F3" s="47"/>
      <c r="G3" s="40">
        <f>'1.Input'!M4</f>
        <v>2021</v>
      </c>
      <c r="H3" s="40">
        <f>'1.Input'!N4</f>
        <v>2022</v>
      </c>
      <c r="I3" s="49">
        <f>'1.Input'!O4</f>
        <v>2023</v>
      </c>
      <c r="J3" s="40">
        <f>'1.Input'!P4</f>
        <v>2024</v>
      </c>
      <c r="K3" s="40">
        <f>'1.Input'!Q4</f>
        <v>2025</v>
      </c>
      <c r="L3" s="40">
        <f>'1.Input'!R4</f>
        <v>2026</v>
      </c>
      <c r="M3" s="40">
        <f>'1.Input'!S4</f>
        <v>2027</v>
      </c>
      <c r="N3" s="40">
        <f>'1.Input'!T4</f>
        <v>2028</v>
      </c>
      <c r="O3" s="40">
        <f>'1.Input'!U4</f>
        <v>2029</v>
      </c>
      <c r="P3" s="40">
        <f>'1.Input'!V4</f>
        <v>2030</v>
      </c>
      <c r="Q3" s="40">
        <f>'1.Input'!W4</f>
        <v>2031</v>
      </c>
      <c r="R3" s="40">
        <f>'1.Input'!X4</f>
        <v>2032</v>
      </c>
      <c r="S3" s="40">
        <f>'1.Input'!Y4</f>
        <v>2033</v>
      </c>
      <c r="T3" s="40">
        <f>'1.Input'!Z4</f>
        <v>2034</v>
      </c>
      <c r="U3" s="40">
        <f>'1.Input'!AA4</f>
        <v>2035</v>
      </c>
      <c r="V3" s="40">
        <f>'1.Input'!AB4</f>
        <v>2036</v>
      </c>
      <c r="W3" s="40">
        <f>'1.Input'!AC4</f>
        <v>2037</v>
      </c>
      <c r="X3" s="40">
        <f>'1.Input'!AD4</f>
        <v>2038</v>
      </c>
      <c r="Y3" s="40">
        <f>'1.Input'!AE4</f>
        <v>2039</v>
      </c>
      <c r="Z3" s="40">
        <f>'1.Input'!AF4</f>
        <v>2040</v>
      </c>
      <c r="AA3" s="40">
        <f>'1.Input'!AG4</f>
        <v>2041</v>
      </c>
      <c r="AB3" s="40">
        <f>'1.Input'!AH4</f>
        <v>2042</v>
      </c>
      <c r="AC3" s="40">
        <f>'1.Input'!AI4</f>
        <v>2043</v>
      </c>
      <c r="AD3" s="40">
        <f>'1.Input'!AJ4</f>
        <v>2044</v>
      </c>
      <c r="AE3" s="40">
        <f>'1.Input'!AK4</f>
        <v>2045</v>
      </c>
      <c r="AF3" s="40">
        <f>'1.Input'!AL4</f>
        <v>2046</v>
      </c>
      <c r="AG3" s="40">
        <f>'1.Input'!AM4</f>
        <v>2047</v>
      </c>
      <c r="AH3" s="40">
        <f>'1.Input'!AN4</f>
        <v>2048</v>
      </c>
      <c r="AI3" s="40">
        <f>'1.Input'!AO4</f>
        <v>2049</v>
      </c>
      <c r="AJ3" s="40">
        <f>'1.Input'!AP4</f>
        <v>2050</v>
      </c>
      <c r="AK3" s="40">
        <f>'1.Input'!AQ4</f>
        <v>2051</v>
      </c>
      <c r="AL3" s="40">
        <f>'1.Input'!AR4</f>
        <v>2052</v>
      </c>
      <c r="AM3" s="40">
        <f>'1.Input'!AS4</f>
        <v>2053</v>
      </c>
      <c r="AN3" s="40">
        <f>'1.Input'!AT4</f>
        <v>0</v>
      </c>
      <c r="AO3" s="40">
        <f>'1.Input'!AU4</f>
        <v>0</v>
      </c>
      <c r="AP3" s="40">
        <f>'1.Input'!AV4</f>
        <v>0</v>
      </c>
      <c r="AQ3" s="40">
        <f>'1.Input'!AW4</f>
        <v>0</v>
      </c>
      <c r="AR3" s="40">
        <f>'1.Input'!AX4</f>
        <v>0</v>
      </c>
      <c r="AS3" s="40">
        <f>'1.Input'!AY4</f>
        <v>0</v>
      </c>
      <c r="AT3" s="48"/>
    </row>
    <row r="4" spans="1:46" s="38" customFormat="1" ht="21" customHeight="1" x14ac:dyDescent="0.3">
      <c r="C4" s="47"/>
      <c r="D4" s="47"/>
      <c r="E4" s="47"/>
      <c r="F4" s="47"/>
      <c r="G4" s="50"/>
      <c r="H4" s="50"/>
      <c r="I4" s="5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48"/>
    </row>
    <row r="5" spans="1:46" ht="17.25" thickBot="1" x14ac:dyDescent="0.35">
      <c r="A5" s="48"/>
      <c r="B5" s="48"/>
      <c r="C5" s="48"/>
      <c r="D5" s="48"/>
      <c r="E5" s="48"/>
      <c r="F5" s="48"/>
      <c r="G5" s="48"/>
      <c r="H5" s="48"/>
      <c r="I5" s="5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s="53" customFormat="1" ht="17.25" thickBot="1" x14ac:dyDescent="0.3">
      <c r="A6" s="48"/>
      <c r="B6" s="48"/>
      <c r="C6" s="615" t="s">
        <v>158</v>
      </c>
      <c r="D6" s="616"/>
      <c r="E6" s="616"/>
      <c r="F6" s="616"/>
      <c r="G6" s="616"/>
      <c r="H6" s="617"/>
      <c r="I6" s="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s="53" customFormat="1" ht="13.5" x14ac:dyDescent="0.25">
      <c r="A7" s="48"/>
      <c r="B7" s="54"/>
      <c r="C7" s="54"/>
      <c r="D7" s="54"/>
      <c r="E7" s="54"/>
      <c r="F7" s="54"/>
      <c r="G7" s="54"/>
      <c r="H7" s="54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T7" s="48"/>
    </row>
    <row r="8" spans="1:46" s="53" customFormat="1" ht="27" x14ac:dyDescent="0.25">
      <c r="A8" s="48"/>
      <c r="B8" s="56">
        <v>1</v>
      </c>
      <c r="C8" s="57" t="s">
        <v>159</v>
      </c>
      <c r="D8" s="58"/>
      <c r="E8" s="59" t="s">
        <v>160</v>
      </c>
      <c r="F8" s="58"/>
      <c r="G8" s="60">
        <f t="shared" ref="G8:M8" si="0">-G14*F29</f>
        <v>0</v>
      </c>
      <c r="H8" s="60">
        <f t="shared" si="0"/>
        <v>0</v>
      </c>
      <c r="I8" s="61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ref="N8:AC8" si="1">N14*M29</f>
        <v>0</v>
      </c>
      <c r="O8" s="60">
        <f t="shared" si="1"/>
        <v>0</v>
      </c>
      <c r="P8" s="60">
        <f t="shared" si="1"/>
        <v>0</v>
      </c>
      <c r="Q8" s="60">
        <f t="shared" si="1"/>
        <v>0</v>
      </c>
      <c r="R8" s="60">
        <f t="shared" si="1"/>
        <v>0</v>
      </c>
      <c r="S8" s="60">
        <f t="shared" si="1"/>
        <v>0</v>
      </c>
      <c r="T8" s="60">
        <f t="shared" si="1"/>
        <v>0</v>
      </c>
      <c r="U8" s="60">
        <f t="shared" si="1"/>
        <v>0</v>
      </c>
      <c r="V8" s="60">
        <f t="shared" si="1"/>
        <v>0</v>
      </c>
      <c r="W8" s="60">
        <f t="shared" si="1"/>
        <v>0</v>
      </c>
      <c r="X8" s="60">
        <f t="shared" si="1"/>
        <v>0</v>
      </c>
      <c r="Y8" s="60">
        <f t="shared" si="1"/>
        <v>0</v>
      </c>
      <c r="Z8" s="60">
        <f t="shared" si="1"/>
        <v>0</v>
      </c>
      <c r="AA8" s="60">
        <f t="shared" si="1"/>
        <v>0</v>
      </c>
      <c r="AB8" s="60">
        <f t="shared" si="1"/>
        <v>0</v>
      </c>
      <c r="AC8" s="60">
        <f t="shared" si="1"/>
        <v>0</v>
      </c>
      <c r="AD8" s="60">
        <f t="shared" ref="AD8:AO8" si="2">AD14*AC29</f>
        <v>0</v>
      </c>
      <c r="AE8" s="60">
        <f t="shared" si="2"/>
        <v>0</v>
      </c>
      <c r="AF8" s="60">
        <f t="shared" si="2"/>
        <v>0</v>
      </c>
      <c r="AG8" s="60">
        <f t="shared" si="2"/>
        <v>0</v>
      </c>
      <c r="AH8" s="60">
        <f t="shared" si="2"/>
        <v>0</v>
      </c>
      <c r="AI8" s="60">
        <f t="shared" si="2"/>
        <v>0</v>
      </c>
      <c r="AJ8" s="60">
        <f t="shared" si="2"/>
        <v>0</v>
      </c>
      <c r="AK8" s="60">
        <f t="shared" si="2"/>
        <v>0</v>
      </c>
      <c r="AL8" s="60">
        <f t="shared" si="2"/>
        <v>0</v>
      </c>
      <c r="AM8" s="60">
        <f t="shared" si="2"/>
        <v>0</v>
      </c>
      <c r="AN8" s="60">
        <f t="shared" si="2"/>
        <v>0</v>
      </c>
      <c r="AO8" s="60">
        <f t="shared" si="2"/>
        <v>0</v>
      </c>
      <c r="AT8" s="48"/>
    </row>
    <row r="9" spans="1:46" s="53" customFormat="1" ht="27" x14ac:dyDescent="0.25">
      <c r="A9" s="48"/>
      <c r="B9" s="56">
        <f>B8+1</f>
        <v>2</v>
      </c>
      <c r="C9" s="57" t="s">
        <v>161</v>
      </c>
      <c r="D9" s="58"/>
      <c r="E9" s="59" t="s">
        <v>160</v>
      </c>
      <c r="F9" s="58"/>
      <c r="G9" s="60">
        <f t="shared" ref="G9:R9" si="3">-(G12*F26)</f>
        <v>0</v>
      </c>
      <c r="H9" s="60">
        <f t="shared" si="3"/>
        <v>-6.3022355302021529</v>
      </c>
      <c r="I9" s="61">
        <f t="shared" si="3"/>
        <v>-5.6547828107545124</v>
      </c>
      <c r="J9" s="60">
        <f t="shared" si="3"/>
        <v>-5.4801508663892049</v>
      </c>
      <c r="K9" s="60">
        <f t="shared" si="3"/>
        <v>-5.3110645175386209</v>
      </c>
      <c r="L9" s="60">
        <f t="shared" si="3"/>
        <v>-5.1473434059766969</v>
      </c>
      <c r="M9" s="60">
        <f t="shared" si="3"/>
        <v>-4.9888131545036041</v>
      </c>
      <c r="N9" s="60">
        <f t="shared" si="3"/>
        <v>-2.322361656867924</v>
      </c>
      <c r="O9" s="60">
        <f t="shared" si="3"/>
        <v>-2.2790205824465981</v>
      </c>
      <c r="P9" s="60">
        <f t="shared" si="3"/>
        <v>-2.2364883608267228</v>
      </c>
      <c r="Q9" s="60">
        <f t="shared" si="3"/>
        <v>-2.1947498967927834</v>
      </c>
      <c r="R9" s="60">
        <f t="shared" si="3"/>
        <v>-2.1537903768439093</v>
      </c>
      <c r="S9" s="60">
        <f t="shared" ref="S9:AO9" si="4">-(S12*R26)</f>
        <v>-2.1135952639360633</v>
      </c>
      <c r="T9" s="60">
        <f t="shared" si="4"/>
        <v>-2.0741502923228281</v>
      </c>
      <c r="U9" s="60">
        <f t="shared" si="4"/>
        <v>-2.0354414624923618</v>
      </c>
      <c r="V9" s="60">
        <f t="shared" si="4"/>
        <v>-1.9974550361985757</v>
      </c>
      <c r="W9" s="60">
        <f t="shared" si="4"/>
        <v>-1.960177531585565</v>
      </c>
      <c r="X9" s="60">
        <f t="shared" si="4"/>
        <v>-1.9235957184023154</v>
      </c>
      <c r="Y9" s="60">
        <f t="shared" si="4"/>
        <v>-1.8876966133076445</v>
      </c>
      <c r="Z9" s="60">
        <f t="shared" si="4"/>
        <v>-1.8524674752617836</v>
      </c>
      <c r="AA9" s="60">
        <f t="shared" si="4"/>
        <v>-1.8178958010046968</v>
      </c>
      <c r="AB9" s="60">
        <f t="shared" si="4"/>
        <v>-1.7839693206184779</v>
      </c>
      <c r="AC9" s="60">
        <f t="shared" si="4"/>
        <v>-1.7506759931724019</v>
      </c>
      <c r="AD9" s="60">
        <f t="shared" si="4"/>
        <v>-1.7180040024498706</v>
      </c>
      <c r="AE9" s="60">
        <f t="shared" si="4"/>
        <v>-1.7008239624253263</v>
      </c>
      <c r="AF9" s="60">
        <f t="shared" si="4"/>
        <v>-1.6838157228010708</v>
      </c>
      <c r="AG9" s="60">
        <f t="shared" si="4"/>
        <v>-1.6669775655731027</v>
      </c>
      <c r="AH9" s="60">
        <f t="shared" si="4"/>
        <v>-1.6503077899173637</v>
      </c>
      <c r="AI9" s="60">
        <f t="shared" si="4"/>
        <v>-1.6338047120181698</v>
      </c>
      <c r="AJ9" s="60">
        <f t="shared" si="4"/>
        <v>-1.6174666648979961</v>
      </c>
      <c r="AK9" s="60">
        <f t="shared" si="4"/>
        <v>-1.6012919982489928</v>
      </c>
      <c r="AL9" s="60">
        <f t="shared" si="4"/>
        <v>-1.5852790782665374</v>
      </c>
      <c r="AM9" s="60">
        <f t="shared" si="4"/>
        <v>-1.5694262874838398</v>
      </c>
      <c r="AN9" s="60">
        <f t="shared" si="4"/>
        <v>-1.5537320246090152</v>
      </c>
      <c r="AO9" s="60">
        <f t="shared" si="4"/>
        <v>-1.5381947043629414</v>
      </c>
      <c r="AT9" s="48"/>
    </row>
    <row r="10" spans="1:46" s="53" customFormat="1" ht="27" x14ac:dyDescent="0.25">
      <c r="A10" s="48"/>
      <c r="B10" s="56">
        <f t="shared" ref="B10:B23" si="5">B9+1</f>
        <v>3</v>
      </c>
      <c r="C10" s="57" t="s">
        <v>162</v>
      </c>
      <c r="D10" s="58"/>
      <c r="E10" s="59" t="s">
        <v>163</v>
      </c>
      <c r="F10" s="58"/>
      <c r="G10" s="60">
        <f t="shared" ref="G10:AC10" si="6">-G16*0.035*F26*0.25</f>
        <v>0</v>
      </c>
      <c r="H10" s="60">
        <f t="shared" si="6"/>
        <v>-2.5713659166107314</v>
      </c>
      <c r="I10" s="61">
        <f t="shared" si="6"/>
        <v>-2.3104785059058983</v>
      </c>
      <c r="J10" s="60">
        <f t="shared" si="6"/>
        <v>-2.2423104988983162</v>
      </c>
      <c r="K10" s="60">
        <f t="shared" si="6"/>
        <v>-2.1762184675044929</v>
      </c>
      <c r="L10" s="60">
        <f t="shared" si="6"/>
        <v>-2.1121373011115323</v>
      </c>
      <c r="M10" s="60">
        <f t="shared" si="6"/>
        <v>-2.0500039846248996</v>
      </c>
      <c r="N10" s="60">
        <f t="shared" si="6"/>
        <v>-2.0117457852618377</v>
      </c>
      <c r="O10" s="60">
        <f t="shared" si="6"/>
        <v>-1.974201579544389</v>
      </c>
      <c r="P10" s="60">
        <f t="shared" si="6"/>
        <v>-1.9373580425661419</v>
      </c>
      <c r="Q10" s="60">
        <f t="shared" si="6"/>
        <v>-1.9012020980967508</v>
      </c>
      <c r="R10" s="60">
        <f t="shared" si="6"/>
        <v>-1.86572091394102</v>
      </c>
      <c r="S10" s="60">
        <f t="shared" si="6"/>
        <v>-1.8309018973845959</v>
      </c>
      <c r="T10" s="60">
        <f t="shared" si="6"/>
        <v>-1.7967326907246557</v>
      </c>
      <c r="U10" s="60">
        <f t="shared" si="6"/>
        <v>-1.7632011668840069</v>
      </c>
      <c r="V10" s="60">
        <f t="shared" si="6"/>
        <v>-1.7302954251070342</v>
      </c>
      <c r="W10" s="60">
        <f t="shared" si="6"/>
        <v>-1.6980037867359741</v>
      </c>
      <c r="X10" s="60">
        <f t="shared" si="6"/>
        <v>-1.6663147910660137</v>
      </c>
      <c r="Y10" s="60">
        <f t="shared" si="6"/>
        <v>-1.6352171912777442</v>
      </c>
      <c r="Z10" s="60">
        <f t="shared" si="6"/>
        <v>-1.6046999504455235</v>
      </c>
      <c r="AA10" s="60">
        <f t="shared" si="6"/>
        <v>-1.5747522376203342</v>
      </c>
      <c r="AB10" s="60">
        <f t="shared" si="6"/>
        <v>-1.5453634239857448</v>
      </c>
      <c r="AC10" s="60">
        <f t="shared" si="6"/>
        <v>-1.516523079085611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T10" s="48"/>
    </row>
    <row r="11" spans="1:46" s="53" customFormat="1" ht="27" x14ac:dyDescent="0.25">
      <c r="A11" s="48"/>
      <c r="B11" s="56">
        <f t="shared" si="5"/>
        <v>4</v>
      </c>
      <c r="C11" s="57" t="s">
        <v>164</v>
      </c>
      <c r="D11" s="58"/>
      <c r="E11" s="59" t="s">
        <v>160</v>
      </c>
      <c r="F11" s="58"/>
      <c r="G11" s="60">
        <f>-G17*F29*0.07*0.025</f>
        <v>0</v>
      </c>
      <c r="H11" s="60">
        <f>-H17*G29*0.07*0.25</f>
        <v>-1.0503973873720136</v>
      </c>
      <c r="I11" s="60">
        <f>-I17*H29*0.07*0.25</f>
        <v>-1.476297081</v>
      </c>
      <c r="J11" s="60">
        <f t="shared" ref="J11:R11" si="7">-J17*I29*0.07*0.25</f>
        <v>-1.4504618820825002</v>
      </c>
      <c r="K11" s="60">
        <f t="shared" si="7"/>
        <v>-1.4250787991460563</v>
      </c>
      <c r="L11" s="60">
        <f t="shared" si="7"/>
        <v>-1.4001399201610003</v>
      </c>
      <c r="M11" s="60">
        <f t="shared" si="7"/>
        <v>-1.3756374715581829</v>
      </c>
      <c r="N11" s="60">
        <f t="shared" si="7"/>
        <v>-1.3515638158059144</v>
      </c>
      <c r="O11" s="60">
        <f t="shared" si="7"/>
        <v>-1.3279114490293114</v>
      </c>
      <c r="P11" s="60">
        <f t="shared" si="7"/>
        <v>-1.3046729986712982</v>
      </c>
      <c r="Q11" s="60">
        <f t="shared" si="7"/>
        <v>-1.2818412211945507</v>
      </c>
      <c r="R11" s="60">
        <f t="shared" si="7"/>
        <v>-1.259408999823646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T11" s="48"/>
    </row>
    <row r="12" spans="1:46" s="53" customFormat="1" ht="34.5" customHeight="1" x14ac:dyDescent="0.25">
      <c r="A12" s="48"/>
      <c r="B12" s="56">
        <f t="shared" si="5"/>
        <v>5</v>
      </c>
      <c r="C12" s="57" t="s">
        <v>207</v>
      </c>
      <c r="D12" s="58"/>
      <c r="E12" s="59" t="s">
        <v>165</v>
      </c>
      <c r="F12" s="58"/>
      <c r="G12" s="62">
        <f>G34</f>
        <v>485</v>
      </c>
      <c r="H12" s="62">
        <f t="shared" ref="H12:AO12" si="8">H34</f>
        <v>322.90880000000107</v>
      </c>
      <c r="I12" s="62">
        <f>I34</f>
        <v>315.68999319999784</v>
      </c>
      <c r="J12" s="62">
        <f t="shared" si="8"/>
        <v>308.64141464112981</v>
      </c>
      <c r="K12" s="62">
        <f t="shared" si="8"/>
        <v>301.7588827452837</v>
      </c>
      <c r="L12" s="62">
        <f t="shared" si="8"/>
        <v>295.03832165510539</v>
      </c>
      <c r="M12" s="62">
        <f t="shared" si="8"/>
        <v>288.47575850939211</v>
      </c>
      <c r="N12" s="62">
        <f t="shared" si="8"/>
        <v>135.47486829249101</v>
      </c>
      <c r="O12" s="62">
        <f t="shared" si="8"/>
        <v>134.12011960956443</v>
      </c>
      <c r="P12" s="62">
        <f t="shared" si="8"/>
        <v>132.77891841347082</v>
      </c>
      <c r="Q12" s="62">
        <f t="shared" si="8"/>
        <v>131.45112922933549</v>
      </c>
      <c r="R12" s="62">
        <f t="shared" si="8"/>
        <v>130.13661793704341</v>
      </c>
      <c r="S12" s="62">
        <f t="shared" si="8"/>
        <v>128.83525175767318</v>
      </c>
      <c r="T12" s="62">
        <f t="shared" si="8"/>
        <v>127.54689924009472</v>
      </c>
      <c r="U12" s="62">
        <f t="shared" si="8"/>
        <v>126.2714302476943</v>
      </c>
      <c r="V12" s="62">
        <f t="shared" si="8"/>
        <v>125.00871594521595</v>
      </c>
      <c r="W12" s="62">
        <f t="shared" si="8"/>
        <v>123.75862878576663</v>
      </c>
      <c r="X12" s="62">
        <f t="shared" si="8"/>
        <v>122.52104249790682</v>
      </c>
      <c r="Y12" s="62">
        <f t="shared" si="8"/>
        <v>121.29583207292853</v>
      </c>
      <c r="Z12" s="62">
        <f t="shared" si="8"/>
        <v>120.08287375219879</v>
      </c>
      <c r="AA12" s="62">
        <f t="shared" si="8"/>
        <v>118.8820450146759</v>
      </c>
      <c r="AB12" s="62">
        <f t="shared" si="8"/>
        <v>117.69322456453119</v>
      </c>
      <c r="AC12" s="62">
        <f t="shared" si="8"/>
        <v>116.51629231888364</v>
      </c>
      <c r="AD12" s="62">
        <f t="shared" si="8"/>
        <v>115.35112939569808</v>
      </c>
      <c r="AE12" s="62">
        <f t="shared" si="8"/>
        <v>114.19761810173804</v>
      </c>
      <c r="AF12" s="62">
        <f t="shared" si="8"/>
        <v>113.05564192072052</v>
      </c>
      <c r="AG12" s="62">
        <f t="shared" si="8"/>
        <v>111.92508550151615</v>
      </c>
      <c r="AH12" s="62">
        <f t="shared" si="8"/>
        <v>110.80583464650044</v>
      </c>
      <c r="AI12" s="62">
        <f t="shared" si="8"/>
        <v>109.69777630003409</v>
      </c>
      <c r="AJ12" s="62">
        <f t="shared" si="8"/>
        <v>108.60079853703428</v>
      </c>
      <c r="AK12" s="62">
        <f t="shared" si="8"/>
        <v>107.51479055166237</v>
      </c>
      <c r="AL12" s="62">
        <f t="shared" si="8"/>
        <v>106.43964264614806</v>
      </c>
      <c r="AM12" s="62">
        <f t="shared" si="8"/>
        <v>105.37524621968441</v>
      </c>
      <c r="AN12" s="62">
        <f t="shared" si="8"/>
        <v>104.3214937574885</v>
      </c>
      <c r="AO12" s="62">
        <f t="shared" si="8"/>
        <v>103.2782788199147</v>
      </c>
      <c r="AT12" s="48"/>
    </row>
    <row r="13" spans="1:46" s="69" customFormat="1" ht="17.25" customHeight="1" x14ac:dyDescent="0.25">
      <c r="A13" s="64"/>
      <c r="B13" s="65">
        <f t="shared" si="5"/>
        <v>6</v>
      </c>
      <c r="C13" s="66" t="s">
        <v>166</v>
      </c>
      <c r="D13" s="67"/>
      <c r="E13" s="68" t="s">
        <v>165</v>
      </c>
      <c r="F13" s="67"/>
      <c r="G13" s="62">
        <v>0</v>
      </c>
      <c r="H13" s="62">
        <v>0</v>
      </c>
      <c r="I13" s="63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T13" s="64"/>
    </row>
    <row r="14" spans="1:46" s="53" customFormat="1" ht="27" x14ac:dyDescent="0.25">
      <c r="A14" s="48"/>
      <c r="B14" s="56">
        <f t="shared" si="5"/>
        <v>7</v>
      </c>
      <c r="C14" s="57" t="s">
        <v>167</v>
      </c>
      <c r="D14" s="58"/>
      <c r="E14" s="59" t="s">
        <v>121</v>
      </c>
      <c r="F14" s="58"/>
      <c r="G14" s="62">
        <v>0</v>
      </c>
      <c r="H14" s="62">
        <v>0</v>
      </c>
      <c r="I14" s="63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T14" s="48"/>
    </row>
    <row r="15" spans="1:46" s="53" customFormat="1" ht="27" x14ac:dyDescent="0.25">
      <c r="A15" s="48"/>
      <c r="B15" s="56">
        <f t="shared" si="5"/>
        <v>8</v>
      </c>
      <c r="C15" s="57" t="s">
        <v>168</v>
      </c>
      <c r="D15" s="58"/>
      <c r="E15" s="59" t="s">
        <v>121</v>
      </c>
      <c r="F15" s="58"/>
      <c r="G15" s="62">
        <v>0</v>
      </c>
      <c r="H15" s="62">
        <v>0</v>
      </c>
      <c r="I15" s="63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T15" s="48"/>
    </row>
    <row r="16" spans="1:46" s="53" customFormat="1" ht="15.75" customHeight="1" x14ac:dyDescent="0.25">
      <c r="A16" s="48"/>
      <c r="B16" s="56">
        <f t="shared" si="5"/>
        <v>9</v>
      </c>
      <c r="C16" s="57" t="s">
        <v>206</v>
      </c>
      <c r="D16" s="58"/>
      <c r="E16" s="59" t="s">
        <v>165</v>
      </c>
      <c r="F16" s="58"/>
      <c r="G16" s="467">
        <f>G33</f>
        <v>15380</v>
      </c>
      <c r="H16" s="467">
        <f t="shared" ref="H16:AO16" si="9">H33</f>
        <v>15057.091199999999</v>
      </c>
      <c r="I16" s="467">
        <f t="shared" si="9"/>
        <v>14741.401206800001</v>
      </c>
      <c r="J16" s="467">
        <f t="shared" si="9"/>
        <v>14432.759792158871</v>
      </c>
      <c r="K16" s="467">
        <f t="shared" si="9"/>
        <v>14131.000909413588</v>
      </c>
      <c r="L16" s="467">
        <f t="shared" si="9"/>
        <v>13835.962587758482</v>
      </c>
      <c r="M16" s="467">
        <f t="shared" si="9"/>
        <v>13547.48682924909</v>
      </c>
      <c r="N16" s="467">
        <f t="shared" si="9"/>
        <v>13412.011960956599</v>
      </c>
      <c r="O16" s="467">
        <f t="shared" si="9"/>
        <v>13277.891841347035</v>
      </c>
      <c r="P16" s="467">
        <f t="shared" si="9"/>
        <v>13145.112922933564</v>
      </c>
      <c r="Q16" s="467">
        <f t="shared" si="9"/>
        <v>13013.661793704228</v>
      </c>
      <c r="R16" s="467">
        <f t="shared" si="9"/>
        <v>12883.525175767185</v>
      </c>
      <c r="S16" s="467">
        <f t="shared" si="9"/>
        <v>12754.689924009512</v>
      </c>
      <c r="T16" s="467">
        <f t="shared" si="9"/>
        <v>12627.143024769417</v>
      </c>
      <c r="U16" s="467">
        <f t="shared" si="9"/>
        <v>12500.871594521723</v>
      </c>
      <c r="V16" s="467">
        <f t="shared" si="9"/>
        <v>12375.862878576507</v>
      </c>
      <c r="W16" s="467">
        <f t="shared" si="9"/>
        <v>12252.10424979074</v>
      </c>
      <c r="X16" s="467">
        <f t="shared" si="9"/>
        <v>12129.583207292833</v>
      </c>
      <c r="Y16" s="467">
        <f t="shared" si="9"/>
        <v>12008.287375219905</v>
      </c>
      <c r="Z16" s="467">
        <f t="shared" si="9"/>
        <v>11888.204501467706</v>
      </c>
      <c r="AA16" s="467">
        <f t="shared" si="9"/>
        <v>11769.32245645303</v>
      </c>
      <c r="AB16" s="467">
        <f t="shared" si="9"/>
        <v>11651.629231888499</v>
      </c>
      <c r="AC16" s="467">
        <f t="shared" si="9"/>
        <v>11535.112939569615</v>
      </c>
      <c r="AD16" s="467">
        <f t="shared" si="9"/>
        <v>11419.761810173917</v>
      </c>
      <c r="AE16" s="467">
        <f t="shared" si="9"/>
        <v>11305.564192072179</v>
      </c>
      <c r="AF16" s="467">
        <f t="shared" si="9"/>
        <v>11192.508550151459</v>
      </c>
      <c r="AG16" s="467">
        <f t="shared" si="9"/>
        <v>11080.583464649942</v>
      </c>
      <c r="AH16" s="467">
        <f t="shared" si="9"/>
        <v>10969.777630003442</v>
      </c>
      <c r="AI16" s="467">
        <f t="shared" si="9"/>
        <v>10860.079853703408</v>
      </c>
      <c r="AJ16" s="467">
        <f t="shared" si="9"/>
        <v>10751.479055166374</v>
      </c>
      <c r="AK16" s="467">
        <f t="shared" si="9"/>
        <v>10643.964264614711</v>
      </c>
      <c r="AL16" s="467">
        <f t="shared" si="9"/>
        <v>10537.524621968563</v>
      </c>
      <c r="AM16" s="467">
        <f t="shared" si="9"/>
        <v>10432.149375748879</v>
      </c>
      <c r="AN16" s="467">
        <f t="shared" si="9"/>
        <v>10327.82788199139</v>
      </c>
      <c r="AO16" s="467">
        <f t="shared" si="9"/>
        <v>10224.549603171476</v>
      </c>
      <c r="AT16" s="48"/>
    </row>
    <row r="17" spans="1:46" s="53" customFormat="1" ht="15.75" customHeight="1" x14ac:dyDescent="0.25">
      <c r="A17" s="48"/>
      <c r="B17" s="56">
        <f t="shared" si="5"/>
        <v>10</v>
      </c>
      <c r="C17" s="57" t="s">
        <v>169</v>
      </c>
      <c r="D17" s="58"/>
      <c r="E17" s="59" t="s">
        <v>121</v>
      </c>
      <c r="F17" s="58"/>
      <c r="G17" s="525">
        <v>586</v>
      </c>
      <c r="H17" s="525">
        <v>542</v>
      </c>
      <c r="I17" s="63">
        <v>542</v>
      </c>
      <c r="J17" s="62">
        <f t="shared" ref="J17:AC17" si="10">I17-J14+J15</f>
        <v>542</v>
      </c>
      <c r="K17" s="62">
        <f t="shared" si="10"/>
        <v>542</v>
      </c>
      <c r="L17" s="62">
        <f t="shared" si="10"/>
        <v>542</v>
      </c>
      <c r="M17" s="62">
        <f t="shared" si="10"/>
        <v>542</v>
      </c>
      <c r="N17" s="62">
        <f t="shared" si="10"/>
        <v>542</v>
      </c>
      <c r="O17" s="62">
        <f t="shared" si="10"/>
        <v>542</v>
      </c>
      <c r="P17" s="62">
        <f t="shared" si="10"/>
        <v>542</v>
      </c>
      <c r="Q17" s="62">
        <f t="shared" si="10"/>
        <v>542</v>
      </c>
      <c r="R17" s="62">
        <f t="shared" si="10"/>
        <v>542</v>
      </c>
      <c r="S17" s="62">
        <f t="shared" si="10"/>
        <v>542</v>
      </c>
      <c r="T17" s="62">
        <f t="shared" si="10"/>
        <v>542</v>
      </c>
      <c r="U17" s="62">
        <f t="shared" si="10"/>
        <v>542</v>
      </c>
      <c r="V17" s="62">
        <f t="shared" si="10"/>
        <v>542</v>
      </c>
      <c r="W17" s="62">
        <f t="shared" si="10"/>
        <v>542</v>
      </c>
      <c r="X17" s="62">
        <f t="shared" si="10"/>
        <v>542</v>
      </c>
      <c r="Y17" s="62">
        <f t="shared" si="10"/>
        <v>542</v>
      </c>
      <c r="Z17" s="62">
        <f t="shared" si="10"/>
        <v>542</v>
      </c>
      <c r="AA17" s="62">
        <f t="shared" si="10"/>
        <v>542</v>
      </c>
      <c r="AB17" s="62">
        <f t="shared" si="10"/>
        <v>542</v>
      </c>
      <c r="AC17" s="62">
        <f t="shared" si="10"/>
        <v>542</v>
      </c>
      <c r="AD17" s="62">
        <f t="shared" ref="AD17" si="11">AC17-AD14+AD15</f>
        <v>542</v>
      </c>
      <c r="AE17" s="62">
        <f t="shared" ref="AE17" si="12">AD17-AE14+AE15</f>
        <v>542</v>
      </c>
      <c r="AF17" s="62">
        <f t="shared" ref="AF17" si="13">AE17-AF14+AF15</f>
        <v>542</v>
      </c>
      <c r="AG17" s="62">
        <f t="shared" ref="AG17" si="14">AF17-AG14+AG15</f>
        <v>542</v>
      </c>
      <c r="AH17" s="62">
        <f t="shared" ref="AH17" si="15">AG17-AH14+AH15</f>
        <v>542</v>
      </c>
      <c r="AI17" s="62">
        <f t="shared" ref="AI17" si="16">AH17-AI14+AI15</f>
        <v>542</v>
      </c>
      <c r="AJ17" s="62">
        <f t="shared" ref="AJ17" si="17">AI17-AJ14+AJ15</f>
        <v>542</v>
      </c>
      <c r="AK17" s="62">
        <f t="shared" ref="AK17" si="18">AJ17-AK14+AK15</f>
        <v>542</v>
      </c>
      <c r="AL17" s="62">
        <f t="shared" ref="AL17" si="19">AK17-AL14+AL15</f>
        <v>542</v>
      </c>
      <c r="AM17" s="62">
        <f t="shared" ref="AM17" si="20">AL17-AM14+AM15</f>
        <v>542</v>
      </c>
      <c r="AN17" s="62">
        <f t="shared" ref="AN17" si="21">AM17-AN14+AN15</f>
        <v>542</v>
      </c>
      <c r="AO17" s="62">
        <f t="shared" ref="AO17" si="22">AN17-AO14+AO15</f>
        <v>542</v>
      </c>
      <c r="AT17" s="48"/>
    </row>
    <row r="18" spans="1:46" s="53" customFormat="1" ht="15" x14ac:dyDescent="0.25">
      <c r="A18" s="48"/>
      <c r="B18" s="56">
        <f t="shared" si="5"/>
        <v>11</v>
      </c>
      <c r="C18" s="70" t="s">
        <v>170</v>
      </c>
      <c r="D18" s="71"/>
      <c r="E18" s="72" t="s">
        <v>160</v>
      </c>
      <c r="F18" s="71"/>
      <c r="G18" s="73">
        <v>0</v>
      </c>
      <c r="H18" s="73">
        <v>0</v>
      </c>
      <c r="I18" s="61">
        <f t="shared" ref="I18:AC18" si="23">I9+I10</f>
        <v>-7.9652613166604107</v>
      </c>
      <c r="J18" s="73">
        <f t="shared" si="23"/>
        <v>-7.7224613652875211</v>
      </c>
      <c r="K18" s="73">
        <f t="shared" si="23"/>
        <v>-7.4872829850431142</v>
      </c>
      <c r="L18" s="73">
        <f t="shared" si="23"/>
        <v>-7.2594807070882297</v>
      </c>
      <c r="M18" s="73">
        <f t="shared" si="23"/>
        <v>-7.0388171391285042</v>
      </c>
      <c r="N18" s="73">
        <f t="shared" si="23"/>
        <v>-4.3341074421297616</v>
      </c>
      <c r="O18" s="73">
        <f t="shared" si="23"/>
        <v>-4.2532221619909869</v>
      </c>
      <c r="P18" s="73">
        <f t="shared" si="23"/>
        <v>-4.1738464033928651</v>
      </c>
      <c r="Q18" s="73">
        <f t="shared" si="23"/>
        <v>-4.0959519948895338</v>
      </c>
      <c r="R18" s="60">
        <f t="shared" si="23"/>
        <v>-4.0195112907849291</v>
      </c>
      <c r="S18" s="73">
        <f t="shared" si="23"/>
        <v>-3.9444971613206592</v>
      </c>
      <c r="T18" s="73">
        <f t="shared" si="23"/>
        <v>-3.8708829830474838</v>
      </c>
      <c r="U18" s="73">
        <f t="shared" si="23"/>
        <v>-3.7986426293763689</v>
      </c>
      <c r="V18" s="73">
        <f t="shared" si="23"/>
        <v>-3.7277504613056101</v>
      </c>
      <c r="W18" s="73">
        <f t="shared" si="23"/>
        <v>-3.6581813183215388</v>
      </c>
      <c r="X18" s="73">
        <f t="shared" si="23"/>
        <v>-3.589910509468329</v>
      </c>
      <c r="Y18" s="73">
        <f t="shared" si="23"/>
        <v>-3.5229138045853885</v>
      </c>
      <c r="Z18" s="73">
        <f t="shared" si="23"/>
        <v>-3.4571674257073068</v>
      </c>
      <c r="AA18" s="73">
        <f t="shared" si="23"/>
        <v>-3.3926480386250311</v>
      </c>
      <c r="AB18" s="73">
        <f t="shared" si="23"/>
        <v>-3.3293327446042227</v>
      </c>
      <c r="AC18" s="73">
        <f t="shared" si="23"/>
        <v>-3.2671990722580126</v>
      </c>
      <c r="AD18" s="73">
        <f t="shared" ref="AD18:AO18" si="24">AD9+AD10</f>
        <v>-1.7180040024498706</v>
      </c>
      <c r="AE18" s="73">
        <f t="shared" si="24"/>
        <v>-1.7008239624253263</v>
      </c>
      <c r="AF18" s="73">
        <f t="shared" si="24"/>
        <v>-1.6838157228010708</v>
      </c>
      <c r="AG18" s="73">
        <f t="shared" si="24"/>
        <v>-1.6669775655731027</v>
      </c>
      <c r="AH18" s="73">
        <f t="shared" si="24"/>
        <v>-1.6503077899173637</v>
      </c>
      <c r="AI18" s="73">
        <f t="shared" si="24"/>
        <v>-1.6338047120181698</v>
      </c>
      <c r="AJ18" s="73">
        <f t="shared" si="24"/>
        <v>-1.6174666648979961</v>
      </c>
      <c r="AK18" s="73">
        <f t="shared" si="24"/>
        <v>-1.6012919982489928</v>
      </c>
      <c r="AL18" s="73">
        <f t="shared" si="24"/>
        <v>-1.5852790782665374</v>
      </c>
      <c r="AM18" s="73">
        <f t="shared" si="24"/>
        <v>-1.5694262874838398</v>
      </c>
      <c r="AN18" s="73">
        <f t="shared" si="24"/>
        <v>-1.5537320246090152</v>
      </c>
      <c r="AO18" s="73">
        <f t="shared" si="24"/>
        <v>-1.5381947043629414</v>
      </c>
      <c r="AT18" s="48"/>
    </row>
    <row r="19" spans="1:46" s="53" customFormat="1" ht="30" x14ac:dyDescent="0.25">
      <c r="A19" s="48"/>
      <c r="B19" s="56">
        <f t="shared" si="5"/>
        <v>12</v>
      </c>
      <c r="C19" s="70" t="s">
        <v>171</v>
      </c>
      <c r="D19" s="71"/>
      <c r="E19" s="72" t="s">
        <v>160</v>
      </c>
      <c r="F19" s="71"/>
      <c r="G19" s="73">
        <v>0</v>
      </c>
      <c r="H19" s="73">
        <v>0</v>
      </c>
      <c r="I19" s="61">
        <f t="shared" ref="I19:AC19" si="25">I8+I11</f>
        <v>-1.476297081</v>
      </c>
      <c r="J19" s="73">
        <f t="shared" si="25"/>
        <v>-1.4504618820825002</v>
      </c>
      <c r="K19" s="73">
        <f t="shared" si="25"/>
        <v>-1.4250787991460563</v>
      </c>
      <c r="L19" s="73">
        <f t="shared" si="25"/>
        <v>-1.4001399201610003</v>
      </c>
      <c r="M19" s="73">
        <f t="shared" si="25"/>
        <v>-1.3756374715581829</v>
      </c>
      <c r="N19" s="73">
        <f t="shared" si="25"/>
        <v>-1.3515638158059144</v>
      </c>
      <c r="O19" s="73">
        <f t="shared" si="25"/>
        <v>-1.3279114490293114</v>
      </c>
      <c r="P19" s="73">
        <f t="shared" si="25"/>
        <v>-1.3046729986712982</v>
      </c>
      <c r="Q19" s="73">
        <f t="shared" si="25"/>
        <v>-1.2818412211945507</v>
      </c>
      <c r="R19" s="73">
        <f t="shared" si="25"/>
        <v>-1.259408999823646</v>
      </c>
      <c r="S19" s="73">
        <f t="shared" si="25"/>
        <v>0</v>
      </c>
      <c r="T19" s="73">
        <f t="shared" si="25"/>
        <v>0</v>
      </c>
      <c r="U19" s="73">
        <f t="shared" si="25"/>
        <v>0</v>
      </c>
      <c r="V19" s="73">
        <f t="shared" si="25"/>
        <v>0</v>
      </c>
      <c r="W19" s="73">
        <f t="shared" si="25"/>
        <v>0</v>
      </c>
      <c r="X19" s="73">
        <f t="shared" si="25"/>
        <v>0</v>
      </c>
      <c r="Y19" s="73">
        <f t="shared" si="25"/>
        <v>0</v>
      </c>
      <c r="Z19" s="73">
        <f t="shared" si="25"/>
        <v>0</v>
      </c>
      <c r="AA19" s="73">
        <f t="shared" si="25"/>
        <v>0</v>
      </c>
      <c r="AB19" s="73">
        <f t="shared" si="25"/>
        <v>0</v>
      </c>
      <c r="AC19" s="73">
        <f t="shared" si="25"/>
        <v>0</v>
      </c>
      <c r="AD19" s="73">
        <f t="shared" ref="AD19:AO19" si="26">AD8+AD11</f>
        <v>0</v>
      </c>
      <c r="AE19" s="73">
        <f t="shared" si="26"/>
        <v>0</v>
      </c>
      <c r="AF19" s="73">
        <f t="shared" si="26"/>
        <v>0</v>
      </c>
      <c r="AG19" s="73">
        <f t="shared" si="26"/>
        <v>0</v>
      </c>
      <c r="AH19" s="73">
        <f t="shared" si="26"/>
        <v>0</v>
      </c>
      <c r="AI19" s="73">
        <f t="shared" si="26"/>
        <v>0</v>
      </c>
      <c r="AJ19" s="73">
        <f t="shared" si="26"/>
        <v>0</v>
      </c>
      <c r="AK19" s="73">
        <f t="shared" si="26"/>
        <v>0</v>
      </c>
      <c r="AL19" s="73">
        <f t="shared" si="26"/>
        <v>0</v>
      </c>
      <c r="AM19" s="73">
        <f t="shared" si="26"/>
        <v>0</v>
      </c>
      <c r="AN19" s="73">
        <f t="shared" si="26"/>
        <v>0</v>
      </c>
      <c r="AO19" s="73">
        <f t="shared" si="26"/>
        <v>0</v>
      </c>
      <c r="AT19" s="48"/>
    </row>
    <row r="20" spans="1:46" s="53" customFormat="1" ht="16.5" customHeight="1" x14ac:dyDescent="0.25">
      <c r="A20" s="48"/>
      <c r="B20" s="56">
        <f t="shared" si="5"/>
        <v>13</v>
      </c>
      <c r="C20" s="57" t="s">
        <v>172</v>
      </c>
      <c r="D20" s="58"/>
      <c r="E20" s="59" t="s">
        <v>163</v>
      </c>
      <c r="F20" s="58"/>
      <c r="G20" s="526">
        <v>300.17262599999998</v>
      </c>
      <c r="H20" s="526">
        <v>269.7094692</v>
      </c>
      <c r="I20" s="60">
        <f t="shared" ref="I20:AC21" si="27">H20+I18</f>
        <v>261.74420788333958</v>
      </c>
      <c r="J20" s="60">
        <f t="shared" si="27"/>
        <v>254.02174651805205</v>
      </c>
      <c r="K20" s="60">
        <f t="shared" si="27"/>
        <v>246.53446353300893</v>
      </c>
      <c r="L20" s="60">
        <f t="shared" si="27"/>
        <v>239.27498282592069</v>
      </c>
      <c r="M20" s="60">
        <f t="shared" si="27"/>
        <v>232.23616568679219</v>
      </c>
      <c r="N20" s="60">
        <f t="shared" si="27"/>
        <v>227.90205824466244</v>
      </c>
      <c r="O20" s="60">
        <f t="shared" si="27"/>
        <v>223.64883608267147</v>
      </c>
      <c r="P20" s="60">
        <f t="shared" si="27"/>
        <v>219.47498967927859</v>
      </c>
      <c r="Q20" s="60">
        <f t="shared" si="27"/>
        <v>215.37903768438906</v>
      </c>
      <c r="R20" s="60">
        <f t="shared" si="27"/>
        <v>211.35952639360414</v>
      </c>
      <c r="S20" s="60">
        <f t="shared" si="27"/>
        <v>207.41502923228347</v>
      </c>
      <c r="T20" s="60">
        <f t="shared" si="27"/>
        <v>203.54414624923598</v>
      </c>
      <c r="U20" s="60">
        <f t="shared" si="27"/>
        <v>199.74550361985962</v>
      </c>
      <c r="V20" s="60">
        <f t="shared" si="27"/>
        <v>196.017753158554</v>
      </c>
      <c r="W20" s="60">
        <f t="shared" si="27"/>
        <v>192.35957184023246</v>
      </c>
      <c r="X20" s="60">
        <f t="shared" si="27"/>
        <v>188.76966133076414</v>
      </c>
      <c r="Y20" s="60">
        <f t="shared" si="27"/>
        <v>185.24674752617875</v>
      </c>
      <c r="Z20" s="60">
        <f t="shared" si="27"/>
        <v>181.78958010047145</v>
      </c>
      <c r="AA20" s="60">
        <f t="shared" si="27"/>
        <v>178.39693206184643</v>
      </c>
      <c r="AB20" s="60">
        <f t="shared" si="27"/>
        <v>175.06759931724221</v>
      </c>
      <c r="AC20" s="60">
        <f t="shared" si="27"/>
        <v>171.80040024498419</v>
      </c>
      <c r="AD20" s="60">
        <f t="shared" ref="AD20:AD21" si="28">AC20+AD18</f>
        <v>170.08239624253432</v>
      </c>
      <c r="AE20" s="60">
        <f t="shared" ref="AE20:AE21" si="29">AD20+AE18</f>
        <v>168.381572280109</v>
      </c>
      <c r="AF20" s="60">
        <f t="shared" ref="AF20:AF21" si="30">AE20+AF18</f>
        <v>166.69775655730794</v>
      </c>
      <c r="AG20" s="60">
        <f t="shared" ref="AG20:AG21" si="31">AF20+AG18</f>
        <v>165.03077899173485</v>
      </c>
      <c r="AH20" s="60">
        <f t="shared" ref="AH20:AH21" si="32">AG20+AH18</f>
        <v>163.38047120181747</v>
      </c>
      <c r="AI20" s="60">
        <f t="shared" ref="AI20:AI21" si="33">AH20+AI18</f>
        <v>161.74666648979931</v>
      </c>
      <c r="AJ20" s="60">
        <f t="shared" ref="AJ20:AJ21" si="34">AI20+AJ18</f>
        <v>160.12919982490132</v>
      </c>
      <c r="AK20" s="60">
        <f t="shared" ref="AK20:AK21" si="35">AJ20+AK18</f>
        <v>158.52790782665232</v>
      </c>
      <c r="AL20" s="60">
        <f t="shared" ref="AL20:AL21" si="36">AK20+AL18</f>
        <v>156.9426287483858</v>
      </c>
      <c r="AM20" s="60">
        <f t="shared" ref="AM20:AM21" si="37">AL20+AM18</f>
        <v>155.37320246090195</v>
      </c>
      <c r="AN20" s="60">
        <f t="shared" ref="AN20:AN21" si="38">AM20+AN18</f>
        <v>153.81947043629293</v>
      </c>
      <c r="AO20" s="60">
        <f t="shared" ref="AO20:AO21" si="39">AN20+AO18</f>
        <v>152.28127573192998</v>
      </c>
      <c r="AT20" s="48"/>
    </row>
    <row r="21" spans="1:46" s="53" customFormat="1" ht="20.25" customHeight="1" x14ac:dyDescent="0.25">
      <c r="A21" s="48"/>
      <c r="B21" s="56">
        <f t="shared" si="5"/>
        <v>14</v>
      </c>
      <c r="C21" s="57" t="s">
        <v>210</v>
      </c>
      <c r="D21" s="58"/>
      <c r="E21" s="59" t="s">
        <v>160</v>
      </c>
      <c r="F21" s="58"/>
      <c r="G21" s="526">
        <v>64.895399999999995</v>
      </c>
      <c r="H21" s="526">
        <v>84.359833199999997</v>
      </c>
      <c r="I21" s="60">
        <f t="shared" si="27"/>
        <v>82.883536118999999</v>
      </c>
      <c r="J21" s="60">
        <f t="shared" si="27"/>
        <v>81.433074236917491</v>
      </c>
      <c r="K21" s="60">
        <f t="shared" si="27"/>
        <v>80.007995437771442</v>
      </c>
      <c r="L21" s="60">
        <f t="shared" si="27"/>
        <v>78.607855517610446</v>
      </c>
      <c r="M21" s="60">
        <f t="shared" si="27"/>
        <v>77.232218046052267</v>
      </c>
      <c r="N21" s="60">
        <f t="shared" si="27"/>
        <v>75.88065423024635</v>
      </c>
      <c r="O21" s="60">
        <f t="shared" si="27"/>
        <v>74.552742781217034</v>
      </c>
      <c r="P21" s="60">
        <f t="shared" si="27"/>
        <v>73.248069782545741</v>
      </c>
      <c r="Q21" s="60">
        <f t="shared" si="27"/>
        <v>71.966228561351187</v>
      </c>
      <c r="R21" s="60">
        <f t="shared" si="27"/>
        <v>70.706819561527539</v>
      </c>
      <c r="S21" s="60">
        <f t="shared" si="27"/>
        <v>70.706819561527539</v>
      </c>
      <c r="T21" s="60">
        <f t="shared" si="27"/>
        <v>70.706819561527539</v>
      </c>
      <c r="U21" s="60">
        <f t="shared" si="27"/>
        <v>70.706819561527539</v>
      </c>
      <c r="V21" s="60">
        <f t="shared" si="27"/>
        <v>70.706819561527539</v>
      </c>
      <c r="W21" s="60">
        <f t="shared" si="27"/>
        <v>70.706819561527539</v>
      </c>
      <c r="X21" s="60">
        <f t="shared" si="27"/>
        <v>70.706819561527539</v>
      </c>
      <c r="Y21" s="60">
        <f t="shared" si="27"/>
        <v>70.706819561527539</v>
      </c>
      <c r="Z21" s="60">
        <f t="shared" si="27"/>
        <v>70.706819561527539</v>
      </c>
      <c r="AA21" s="60">
        <f t="shared" si="27"/>
        <v>70.706819561527539</v>
      </c>
      <c r="AB21" s="60">
        <f t="shared" si="27"/>
        <v>70.706819561527539</v>
      </c>
      <c r="AC21" s="60">
        <f t="shared" si="27"/>
        <v>70.706819561527539</v>
      </c>
      <c r="AD21" s="60">
        <f t="shared" si="28"/>
        <v>70.706819561527539</v>
      </c>
      <c r="AE21" s="60">
        <f t="shared" si="29"/>
        <v>70.706819561527539</v>
      </c>
      <c r="AF21" s="60">
        <f t="shared" si="30"/>
        <v>70.706819561527539</v>
      </c>
      <c r="AG21" s="60">
        <f t="shared" si="31"/>
        <v>70.706819561527539</v>
      </c>
      <c r="AH21" s="60">
        <f t="shared" si="32"/>
        <v>70.706819561527539</v>
      </c>
      <c r="AI21" s="60">
        <f t="shared" si="33"/>
        <v>70.706819561527539</v>
      </c>
      <c r="AJ21" s="60">
        <f t="shared" si="34"/>
        <v>70.706819561527539</v>
      </c>
      <c r="AK21" s="60">
        <f t="shared" si="35"/>
        <v>70.706819561527539</v>
      </c>
      <c r="AL21" s="60">
        <f t="shared" si="36"/>
        <v>70.706819561527539</v>
      </c>
      <c r="AM21" s="60">
        <f t="shared" si="37"/>
        <v>70.706819561527539</v>
      </c>
      <c r="AN21" s="60">
        <f t="shared" si="38"/>
        <v>70.706819561527539</v>
      </c>
      <c r="AO21" s="60">
        <f t="shared" si="39"/>
        <v>70.706819561527539</v>
      </c>
      <c r="AT21" s="48"/>
    </row>
    <row r="22" spans="1:46" s="80" customFormat="1" ht="21.75" customHeight="1" x14ac:dyDescent="0.3">
      <c r="A22" s="74"/>
      <c r="B22" s="56">
        <f t="shared" si="5"/>
        <v>15</v>
      </c>
      <c r="C22" s="75" t="s">
        <v>209</v>
      </c>
      <c r="D22" s="76"/>
      <c r="E22" s="77" t="s">
        <v>160</v>
      </c>
      <c r="F22" s="76"/>
      <c r="G22" s="78">
        <f t="shared" ref="G22:AC22" si="40">G20+G21</f>
        <v>365.06802599999997</v>
      </c>
      <c r="H22" s="78">
        <f t="shared" si="40"/>
        <v>354.06930239999997</v>
      </c>
      <c r="I22" s="79">
        <f t="shared" si="40"/>
        <v>344.62774400233957</v>
      </c>
      <c r="J22" s="78">
        <f t="shared" si="40"/>
        <v>335.45482075496955</v>
      </c>
      <c r="K22" s="78">
        <f t="shared" si="40"/>
        <v>326.54245897078039</v>
      </c>
      <c r="L22" s="78">
        <f t="shared" si="40"/>
        <v>317.88283834353115</v>
      </c>
      <c r="M22" s="78">
        <f t="shared" si="40"/>
        <v>309.46838373284447</v>
      </c>
      <c r="N22" s="78">
        <f t="shared" si="40"/>
        <v>303.78271247490881</v>
      </c>
      <c r="O22" s="78">
        <f t="shared" si="40"/>
        <v>298.20157886388847</v>
      </c>
      <c r="P22" s="78">
        <f t="shared" si="40"/>
        <v>292.72305946182433</v>
      </c>
      <c r="Q22" s="78">
        <f t="shared" si="40"/>
        <v>287.34526624574028</v>
      </c>
      <c r="R22" s="78">
        <f t="shared" si="40"/>
        <v>282.06634595513168</v>
      </c>
      <c r="S22" s="78">
        <f t="shared" si="40"/>
        <v>278.12184879381101</v>
      </c>
      <c r="T22" s="78">
        <f t="shared" si="40"/>
        <v>274.25096581076355</v>
      </c>
      <c r="U22" s="78">
        <f t="shared" si="40"/>
        <v>270.45232318138716</v>
      </c>
      <c r="V22" s="78">
        <f t="shared" si="40"/>
        <v>266.72457272008154</v>
      </c>
      <c r="W22" s="78">
        <f t="shared" si="40"/>
        <v>263.06639140176003</v>
      </c>
      <c r="X22" s="78">
        <f t="shared" si="40"/>
        <v>259.47648089229165</v>
      </c>
      <c r="Y22" s="78">
        <f t="shared" si="40"/>
        <v>255.95356708770629</v>
      </c>
      <c r="Z22" s="78">
        <f t="shared" si="40"/>
        <v>252.49639966199899</v>
      </c>
      <c r="AA22" s="78">
        <f t="shared" si="40"/>
        <v>249.10375162337397</v>
      </c>
      <c r="AB22" s="78">
        <f t="shared" si="40"/>
        <v>245.77441887876975</v>
      </c>
      <c r="AC22" s="78">
        <f t="shared" si="40"/>
        <v>242.50721980651173</v>
      </c>
      <c r="AD22" s="78">
        <f t="shared" ref="AD22:AO22" si="41">AD20+AD21</f>
        <v>240.78921580406185</v>
      </c>
      <c r="AE22" s="78">
        <f t="shared" si="41"/>
        <v>239.08839184163654</v>
      </c>
      <c r="AF22" s="78">
        <f t="shared" si="41"/>
        <v>237.40457611883548</v>
      </c>
      <c r="AG22" s="78">
        <f t="shared" si="41"/>
        <v>235.73759855326239</v>
      </c>
      <c r="AH22" s="78">
        <f t="shared" si="41"/>
        <v>234.08729076334501</v>
      </c>
      <c r="AI22" s="78">
        <f t="shared" si="41"/>
        <v>232.45348605132685</v>
      </c>
      <c r="AJ22" s="78">
        <f t="shared" si="41"/>
        <v>230.83601938642886</v>
      </c>
      <c r="AK22" s="78">
        <f t="shared" si="41"/>
        <v>229.23472738817986</v>
      </c>
      <c r="AL22" s="78">
        <f t="shared" si="41"/>
        <v>227.64944830991334</v>
      </c>
      <c r="AM22" s="78">
        <f t="shared" si="41"/>
        <v>226.08002202242949</v>
      </c>
      <c r="AN22" s="78">
        <f t="shared" si="41"/>
        <v>224.52628999782047</v>
      </c>
      <c r="AO22" s="78">
        <f t="shared" si="41"/>
        <v>222.98809529345752</v>
      </c>
      <c r="AT22" s="74"/>
    </row>
    <row r="23" spans="1:46" s="53" customFormat="1" ht="19.5" customHeight="1" x14ac:dyDescent="0.25">
      <c r="A23" s="48"/>
      <c r="B23" s="56">
        <f t="shared" si="5"/>
        <v>16</v>
      </c>
      <c r="C23" s="57" t="s">
        <v>173</v>
      </c>
      <c r="D23" s="58"/>
      <c r="E23" s="59" t="s">
        <v>160</v>
      </c>
      <c r="F23" s="58"/>
      <c r="G23" s="527">
        <v>279.35166959999998</v>
      </c>
      <c r="H23" s="527">
        <v>273.29755679999994</v>
      </c>
      <c r="I23" s="528">
        <f>H23</f>
        <v>273.29755679999994</v>
      </c>
      <c r="J23" s="528">
        <f t="shared" ref="J23:AO23" si="42">I23</f>
        <v>273.29755679999994</v>
      </c>
      <c r="K23" s="528">
        <f t="shared" si="42"/>
        <v>273.29755679999994</v>
      </c>
      <c r="L23" s="528">
        <f t="shared" si="42"/>
        <v>273.29755679999994</v>
      </c>
      <c r="M23" s="528">
        <f t="shared" si="42"/>
        <v>273.29755679999994</v>
      </c>
      <c r="N23" s="528">
        <f t="shared" si="42"/>
        <v>273.29755679999994</v>
      </c>
      <c r="O23" s="528">
        <f t="shared" si="42"/>
        <v>273.29755679999994</v>
      </c>
      <c r="P23" s="528">
        <f t="shared" si="42"/>
        <v>273.29755679999994</v>
      </c>
      <c r="Q23" s="528">
        <f t="shared" si="42"/>
        <v>273.29755679999994</v>
      </c>
      <c r="R23" s="528">
        <f t="shared" si="42"/>
        <v>273.29755679999994</v>
      </c>
      <c r="S23" s="528">
        <f t="shared" si="42"/>
        <v>273.29755679999994</v>
      </c>
      <c r="T23" s="528">
        <f t="shared" si="42"/>
        <v>273.29755679999994</v>
      </c>
      <c r="U23" s="528">
        <f t="shared" si="42"/>
        <v>273.29755679999994</v>
      </c>
      <c r="V23" s="528">
        <f t="shared" si="42"/>
        <v>273.29755679999994</v>
      </c>
      <c r="W23" s="528">
        <f t="shared" si="42"/>
        <v>273.29755679999994</v>
      </c>
      <c r="X23" s="528">
        <f t="shared" si="42"/>
        <v>273.29755679999994</v>
      </c>
      <c r="Y23" s="528">
        <f t="shared" si="42"/>
        <v>273.29755679999994</v>
      </c>
      <c r="Z23" s="528">
        <f t="shared" si="42"/>
        <v>273.29755679999994</v>
      </c>
      <c r="AA23" s="528">
        <f t="shared" si="42"/>
        <v>273.29755679999994</v>
      </c>
      <c r="AB23" s="528">
        <f t="shared" si="42"/>
        <v>273.29755679999994</v>
      </c>
      <c r="AC23" s="528">
        <f t="shared" si="42"/>
        <v>273.29755679999994</v>
      </c>
      <c r="AD23" s="528">
        <f t="shared" si="42"/>
        <v>273.29755679999994</v>
      </c>
      <c r="AE23" s="528">
        <f t="shared" si="42"/>
        <v>273.29755679999994</v>
      </c>
      <c r="AF23" s="528">
        <f t="shared" si="42"/>
        <v>273.29755679999994</v>
      </c>
      <c r="AG23" s="528">
        <f t="shared" si="42"/>
        <v>273.29755679999994</v>
      </c>
      <c r="AH23" s="528">
        <f t="shared" si="42"/>
        <v>273.29755679999994</v>
      </c>
      <c r="AI23" s="528">
        <f t="shared" si="42"/>
        <v>273.29755679999994</v>
      </c>
      <c r="AJ23" s="528">
        <f t="shared" si="42"/>
        <v>273.29755679999994</v>
      </c>
      <c r="AK23" s="528">
        <f t="shared" si="42"/>
        <v>273.29755679999994</v>
      </c>
      <c r="AL23" s="528">
        <f t="shared" si="42"/>
        <v>273.29755679999994</v>
      </c>
      <c r="AM23" s="528">
        <f t="shared" si="42"/>
        <v>273.29755679999994</v>
      </c>
      <c r="AN23" s="528">
        <f t="shared" si="42"/>
        <v>273.29755679999994</v>
      </c>
      <c r="AO23" s="528">
        <f t="shared" si="42"/>
        <v>273.29755679999994</v>
      </c>
      <c r="AT23" s="48"/>
    </row>
    <row r="24" spans="1:46" s="80" customFormat="1" ht="17.25" customHeight="1" x14ac:dyDescent="0.3">
      <c r="A24" s="74"/>
      <c r="B24" s="646">
        <f>B23+1</f>
        <v>17</v>
      </c>
      <c r="C24" s="642" t="s">
        <v>174</v>
      </c>
      <c r="D24" s="76"/>
      <c r="E24" s="77" t="s">
        <v>160</v>
      </c>
      <c r="F24" s="76"/>
      <c r="G24" s="78">
        <f>G22+G23</f>
        <v>644.41969559999995</v>
      </c>
      <c r="H24" s="78">
        <f t="shared" ref="H24:AC24" si="43">H22+H23</f>
        <v>627.36685919999991</v>
      </c>
      <c r="I24" s="79">
        <f t="shared" si="43"/>
        <v>617.92530080233951</v>
      </c>
      <c r="J24" s="78">
        <f t="shared" si="43"/>
        <v>608.75237755496948</v>
      </c>
      <c r="K24" s="78">
        <f t="shared" si="43"/>
        <v>599.84001577078038</v>
      </c>
      <c r="L24" s="78">
        <f t="shared" si="43"/>
        <v>591.18039514353109</v>
      </c>
      <c r="M24" s="78">
        <f t="shared" si="43"/>
        <v>582.76594053284441</v>
      </c>
      <c r="N24" s="78">
        <f t="shared" si="43"/>
        <v>577.08026927490869</v>
      </c>
      <c r="O24" s="78">
        <f t="shared" si="43"/>
        <v>571.49913566388841</v>
      </c>
      <c r="P24" s="78">
        <f t="shared" si="43"/>
        <v>566.02061626182422</v>
      </c>
      <c r="Q24" s="78">
        <f t="shared" si="43"/>
        <v>560.64282304574022</v>
      </c>
      <c r="R24" s="78">
        <f t="shared" si="43"/>
        <v>555.36390275513168</v>
      </c>
      <c r="S24" s="78">
        <f t="shared" si="43"/>
        <v>551.41940559381101</v>
      </c>
      <c r="T24" s="78">
        <f t="shared" si="43"/>
        <v>547.54852261076348</v>
      </c>
      <c r="U24" s="78">
        <f t="shared" si="43"/>
        <v>543.74987998138704</v>
      </c>
      <c r="V24" s="78">
        <f t="shared" si="43"/>
        <v>540.02212952008153</v>
      </c>
      <c r="W24" s="78">
        <f t="shared" si="43"/>
        <v>536.36394820175997</v>
      </c>
      <c r="X24" s="78">
        <f t="shared" si="43"/>
        <v>532.77403769229159</v>
      </c>
      <c r="Y24" s="78">
        <f t="shared" si="43"/>
        <v>529.25112388770617</v>
      </c>
      <c r="Z24" s="78">
        <f t="shared" si="43"/>
        <v>525.79395646199896</v>
      </c>
      <c r="AA24" s="78">
        <f t="shared" si="43"/>
        <v>522.40130842337385</v>
      </c>
      <c r="AB24" s="78">
        <f t="shared" si="43"/>
        <v>519.07197567876972</v>
      </c>
      <c r="AC24" s="78">
        <f t="shared" si="43"/>
        <v>515.80477660651172</v>
      </c>
      <c r="AD24" s="78">
        <f t="shared" ref="AD24:AO24" si="44">AD22+AD23</f>
        <v>514.08677260406182</v>
      </c>
      <c r="AE24" s="78">
        <f t="shared" si="44"/>
        <v>512.38594864163645</v>
      </c>
      <c r="AF24" s="78">
        <f t="shared" si="44"/>
        <v>510.70213291883545</v>
      </c>
      <c r="AG24" s="78">
        <f t="shared" si="44"/>
        <v>509.03515535326233</v>
      </c>
      <c r="AH24" s="78">
        <f t="shared" si="44"/>
        <v>507.38484756334492</v>
      </c>
      <c r="AI24" s="78">
        <f t="shared" si="44"/>
        <v>505.75104285132682</v>
      </c>
      <c r="AJ24" s="78">
        <f t="shared" si="44"/>
        <v>504.1335761864288</v>
      </c>
      <c r="AK24" s="78">
        <f t="shared" si="44"/>
        <v>502.5322841881798</v>
      </c>
      <c r="AL24" s="78">
        <f t="shared" si="44"/>
        <v>500.94700510991328</v>
      </c>
      <c r="AM24" s="78">
        <f t="shared" si="44"/>
        <v>499.37757882242943</v>
      </c>
      <c r="AN24" s="78">
        <f t="shared" si="44"/>
        <v>497.82384679782041</v>
      </c>
      <c r="AO24" s="78">
        <f t="shared" si="44"/>
        <v>496.28565209345743</v>
      </c>
      <c r="AT24" s="74"/>
    </row>
    <row r="25" spans="1:46" s="80" customFormat="1" ht="21.75" customHeight="1" x14ac:dyDescent="0.3">
      <c r="A25" s="74"/>
      <c r="B25" s="646"/>
      <c r="C25" s="642"/>
      <c r="D25" s="82"/>
      <c r="E25" s="77" t="s">
        <v>175</v>
      </c>
      <c r="F25" s="76"/>
      <c r="G25" s="78">
        <f>G24*1000/'1.Input'!$K$63</f>
        <v>153917</v>
      </c>
      <c r="H25" s="78">
        <f>H24*1000/'1.Input'!$K$63</f>
        <v>149844</v>
      </c>
      <c r="I25" s="79">
        <f>I24*1000/'1.Input'!$K$63</f>
        <v>147588.9225189499</v>
      </c>
      <c r="J25" s="78">
        <f>J24*1000/'1.Input'!$K$63</f>
        <v>145398.00744123664</v>
      </c>
      <c r="K25" s="78">
        <f>K24*1000/'1.Input'!$K$63</f>
        <v>143269.32639982336</v>
      </c>
      <c r="L25" s="78">
        <f>L24*1000/'1.Input'!$K$63</f>
        <v>141201.01154665402</v>
      </c>
      <c r="M25" s="78">
        <f>M24*1000/'1.Input'!$K$63</f>
        <v>139191.25359053319</v>
      </c>
      <c r="N25" s="78">
        <f>N24*1000/'1.Input'!$K$63</f>
        <v>137833.25434100238</v>
      </c>
      <c r="O25" s="78">
        <f>O24*1000/'1.Input'!$K$63</f>
        <v>136500.22347948037</v>
      </c>
      <c r="P25" s="78">
        <f>P24*1000/'1.Input'!$K$63</f>
        <v>135191.70160070324</v>
      </c>
      <c r="Q25" s="78">
        <f>Q24*1000/'1.Input'!$K$63</f>
        <v>133907.23775813039</v>
      </c>
      <c r="R25" s="78">
        <f>R24*1000/'1.Input'!$K$63</f>
        <v>132646.38930809489</v>
      </c>
      <c r="S25" s="78">
        <f>S24*1000/'1.Input'!$K$63</f>
        <v>131704.26234685464</v>
      </c>
      <c r="T25" s="78">
        <f>T24*1000/'1.Input'!$K$63</f>
        <v>130779.71783002853</v>
      </c>
      <c r="U25" s="78">
        <f>U24*1000/'1.Input'!$K$63</f>
        <v>129872.4276252477</v>
      </c>
      <c r="V25" s="78">
        <f>V24*1000/'1.Input'!$K$63</f>
        <v>128982.06972391364</v>
      </c>
      <c r="W25" s="78">
        <f>W24*1000/'1.Input'!$K$63</f>
        <v>128108.32812691315</v>
      </c>
      <c r="X25" s="78">
        <f>X24*1000/'1.Input'!$K$63</f>
        <v>127250.8927324667</v>
      </c>
      <c r="Y25" s="78">
        <f>Y24*1000/'1.Input'!$K$63</f>
        <v>126409.45922606913</v>
      </c>
      <c r="Z25" s="78">
        <f>Z24*1000/'1.Input'!$K$63</f>
        <v>125583.72897248472</v>
      </c>
      <c r="AA25" s="78">
        <f>AA24*1000/'1.Input'!$K$63</f>
        <v>124773.40890975778</v>
      </c>
      <c r="AB25" s="78">
        <f>AB24*1000/'1.Input'!$K$63</f>
        <v>123978.21144520152</v>
      </c>
      <c r="AC25" s="78">
        <f>AC24*1000/'1.Input'!$K$63</f>
        <v>123197.85435332754</v>
      </c>
      <c r="AD25" s="78">
        <f>AD24*1000/'1.Input'!$K$63</f>
        <v>122787.51614695277</v>
      </c>
      <c r="AE25" s="78">
        <f>AE24*1000/'1.Input'!$K$63</f>
        <v>122381.28132264175</v>
      </c>
      <c r="AF25" s="78">
        <f>AF24*1000/'1.Input'!$K$63</f>
        <v>121979.10884657387</v>
      </c>
      <c r="AG25" s="78">
        <f>AG24*1000/'1.Input'!$K$63</f>
        <v>121580.95809526663</v>
      </c>
      <c r="AH25" s="78">
        <f>AH24*1000/'1.Input'!$K$63</f>
        <v>121186.78885147248</v>
      </c>
      <c r="AI25" s="78">
        <f>AI24*1000/'1.Input'!$K$63</f>
        <v>120796.56130011627</v>
      </c>
      <c r="AJ25" s="78">
        <f>AJ24*1000/'1.Input'!$K$63</f>
        <v>120410.23602427362</v>
      </c>
      <c r="AK25" s="78">
        <f>AK24*1000/'1.Input'!$K$63</f>
        <v>120027.77400118942</v>
      </c>
      <c r="AL25" s="78">
        <f>AL24*1000/'1.Input'!$K$63</f>
        <v>119649.13659833603</v>
      </c>
      <c r="AM25" s="78">
        <f>AM24*1000/'1.Input'!$K$63</f>
        <v>119274.28556951118</v>
      </c>
      <c r="AN25" s="78">
        <f>AN24*1000/'1.Input'!$K$63</f>
        <v>118903.18305097459</v>
      </c>
      <c r="AO25" s="78">
        <f>AO24*1000/'1.Input'!$K$63</f>
        <v>118535.79155762335</v>
      </c>
      <c r="AT25" s="74"/>
    </row>
    <row r="26" spans="1:46" s="53" customFormat="1" ht="17.25" customHeight="1" x14ac:dyDescent="0.25">
      <c r="A26" s="48"/>
      <c r="B26" s="646">
        <f>B24+1</f>
        <v>18</v>
      </c>
      <c r="C26" s="643" t="s">
        <v>176</v>
      </c>
      <c r="D26" s="83"/>
      <c r="E26" s="59" t="s">
        <v>177</v>
      </c>
      <c r="F26" s="58"/>
      <c r="G26" s="84">
        <f t="shared" ref="G26:AC26" si="45">G20/G16</f>
        <v>1.9517075812743822E-2</v>
      </c>
      <c r="H26" s="84">
        <f t="shared" si="45"/>
        <v>1.7912455043109524E-2</v>
      </c>
      <c r="I26" s="85">
        <f t="shared" si="45"/>
        <v>1.7755721061482314E-2</v>
      </c>
      <c r="J26" s="84">
        <f t="shared" si="45"/>
        <v>1.7600358502194345E-2</v>
      </c>
      <c r="K26" s="84">
        <f t="shared" si="45"/>
        <v>1.7446355365300141E-2</v>
      </c>
      <c r="L26" s="84">
        <f t="shared" si="45"/>
        <v>1.7293699755853764E-2</v>
      </c>
      <c r="M26" s="84">
        <f t="shared" si="45"/>
        <v>1.7142379882990045E-2</v>
      </c>
      <c r="N26" s="84">
        <f t="shared" si="45"/>
        <v>1.6992384059013883E-2</v>
      </c>
      <c r="O26" s="84">
        <f t="shared" si="45"/>
        <v>1.6843700698497513E-2</v>
      </c>
      <c r="P26" s="84">
        <f t="shared" si="45"/>
        <v>1.6696318317385658E-2</v>
      </c>
      <c r="Q26" s="84">
        <f t="shared" si="45"/>
        <v>1.6550225532108533E-2</v>
      </c>
      <c r="R26" s="84">
        <f t="shared" si="45"/>
        <v>1.6405411058702586E-2</v>
      </c>
      <c r="S26" s="84">
        <f t="shared" si="45"/>
        <v>1.6261863711938936E-2</v>
      </c>
      <c r="T26" s="84">
        <f t="shared" si="45"/>
        <v>1.6119572404459472E-2</v>
      </c>
      <c r="U26" s="84">
        <f t="shared" si="45"/>
        <v>1.5978526145920449E-2</v>
      </c>
      <c r="V26" s="84">
        <f t="shared" si="45"/>
        <v>1.5838714042143646E-2</v>
      </c>
      <c r="W26" s="84">
        <f t="shared" si="45"/>
        <v>1.5700125294274888E-2</v>
      </c>
      <c r="X26" s="84">
        <f t="shared" si="45"/>
        <v>1.5562749197949984E-2</v>
      </c>
      <c r="Y26" s="84">
        <f t="shared" si="45"/>
        <v>1.5426575142467923E-2</v>
      </c>
      <c r="Z26" s="84">
        <f t="shared" si="45"/>
        <v>1.5291592609971328E-2</v>
      </c>
      <c r="AA26" s="84">
        <f t="shared" si="45"/>
        <v>1.515779117463408E-2</v>
      </c>
      <c r="AB26" s="84">
        <f t="shared" si="45"/>
        <v>1.5025160501856032E-2</v>
      </c>
      <c r="AC26" s="84">
        <f t="shared" si="45"/>
        <v>1.4893690347464791E-2</v>
      </c>
      <c r="AD26" s="84">
        <f t="shared" ref="AD26:AO26" si="46">AD20/AD16</f>
        <v>1.4893690347464791E-2</v>
      </c>
      <c r="AE26" s="84">
        <f t="shared" si="46"/>
        <v>1.4893690347464791E-2</v>
      </c>
      <c r="AF26" s="84">
        <f t="shared" si="46"/>
        <v>1.4893690347464792E-2</v>
      </c>
      <c r="AG26" s="84">
        <f t="shared" si="46"/>
        <v>1.4893690347464794E-2</v>
      </c>
      <c r="AH26" s="84">
        <f t="shared" si="46"/>
        <v>1.4893690347464792E-2</v>
      </c>
      <c r="AI26" s="84">
        <f t="shared" si="46"/>
        <v>1.4893690347464792E-2</v>
      </c>
      <c r="AJ26" s="84">
        <f t="shared" si="46"/>
        <v>1.4893690347464794E-2</v>
      </c>
      <c r="AK26" s="84">
        <f t="shared" si="46"/>
        <v>1.4893690347464794E-2</v>
      </c>
      <c r="AL26" s="84">
        <f t="shared" si="46"/>
        <v>1.4893690347464794E-2</v>
      </c>
      <c r="AM26" s="84">
        <f t="shared" si="46"/>
        <v>1.4893690347464794E-2</v>
      </c>
      <c r="AN26" s="84">
        <f t="shared" si="46"/>
        <v>1.4893690347464794E-2</v>
      </c>
      <c r="AO26" s="84">
        <f t="shared" si="46"/>
        <v>1.4893690347464792E-2</v>
      </c>
      <c r="AT26" s="48"/>
    </row>
    <row r="27" spans="1:46" s="53" customFormat="1" ht="13.5" x14ac:dyDescent="0.25">
      <c r="A27" s="48"/>
      <c r="B27" s="646"/>
      <c r="C27" s="644"/>
      <c r="D27" s="83"/>
      <c r="E27" s="59" t="s">
        <v>178</v>
      </c>
      <c r="F27" s="58"/>
      <c r="G27" s="73">
        <f t="shared" ref="G27:AC27" si="47">G26*1000/4.1868</f>
        <v>4.6615734720416127</v>
      </c>
      <c r="H27" s="60">
        <f t="shared" si="47"/>
        <v>4.2783163855712063</v>
      </c>
      <c r="I27" s="86">
        <f t="shared" si="47"/>
        <v>4.2408811171974579</v>
      </c>
      <c r="J27" s="73">
        <f t="shared" si="47"/>
        <v>4.2037734074219806</v>
      </c>
      <c r="K27" s="73">
        <f t="shared" si="47"/>
        <v>4.1669903901070375</v>
      </c>
      <c r="L27" s="73">
        <f t="shared" si="47"/>
        <v>4.1305292241936007</v>
      </c>
      <c r="M27" s="73">
        <f t="shared" si="47"/>
        <v>4.0943870934819069</v>
      </c>
      <c r="N27" s="73">
        <f t="shared" si="47"/>
        <v>4.0585612064139402</v>
      </c>
      <c r="O27" s="73">
        <f t="shared" si="47"/>
        <v>4.0230487958578189</v>
      </c>
      <c r="P27" s="73">
        <f t="shared" si="47"/>
        <v>3.9878471188940616</v>
      </c>
      <c r="Q27" s="73">
        <f t="shared" si="47"/>
        <v>3.9529534566037392</v>
      </c>
      <c r="R27" s="73">
        <f t="shared" si="47"/>
        <v>3.918365113858457</v>
      </c>
      <c r="S27" s="73">
        <f t="shared" si="47"/>
        <v>3.8840794191121946</v>
      </c>
      <c r="T27" s="73">
        <f t="shared" si="47"/>
        <v>3.8500937241949633</v>
      </c>
      <c r="U27" s="73">
        <f t="shared" si="47"/>
        <v>3.8164054041082571</v>
      </c>
      <c r="V27" s="73">
        <f t="shared" si="47"/>
        <v>3.7830118568223097</v>
      </c>
      <c r="W27" s="73">
        <f t="shared" si="47"/>
        <v>3.7499105030751143</v>
      </c>
      <c r="X27" s="73">
        <f t="shared" si="47"/>
        <v>3.7170987861732074</v>
      </c>
      <c r="Y27" s="73">
        <f t="shared" si="47"/>
        <v>3.6845741717941922</v>
      </c>
      <c r="Z27" s="73">
        <f t="shared" si="47"/>
        <v>3.652334147790993</v>
      </c>
      <c r="AA27" s="73">
        <f t="shared" si="47"/>
        <v>3.6203762239978214</v>
      </c>
      <c r="AB27" s="73">
        <f t="shared" si="47"/>
        <v>3.5886979320378409</v>
      </c>
      <c r="AC27" s="73">
        <f t="shared" si="47"/>
        <v>3.5572968251325094</v>
      </c>
      <c r="AD27" s="73">
        <f t="shared" ref="AD27:AO27" si="48">AD26*1000/4.1868</f>
        <v>3.5572968251325094</v>
      </c>
      <c r="AE27" s="73">
        <f t="shared" si="48"/>
        <v>3.5572968251325094</v>
      </c>
      <c r="AF27" s="73">
        <f t="shared" si="48"/>
        <v>3.5572968251325099</v>
      </c>
      <c r="AG27" s="73">
        <f t="shared" si="48"/>
        <v>3.5572968251325103</v>
      </c>
      <c r="AH27" s="73">
        <f t="shared" si="48"/>
        <v>3.5572968251325099</v>
      </c>
      <c r="AI27" s="73">
        <f t="shared" si="48"/>
        <v>3.5572968251325099</v>
      </c>
      <c r="AJ27" s="73">
        <f t="shared" si="48"/>
        <v>3.5572968251325103</v>
      </c>
      <c r="AK27" s="73">
        <f t="shared" si="48"/>
        <v>3.5572968251325103</v>
      </c>
      <c r="AL27" s="73">
        <f t="shared" si="48"/>
        <v>3.5572968251325103</v>
      </c>
      <c r="AM27" s="73">
        <f t="shared" si="48"/>
        <v>3.5572968251325103</v>
      </c>
      <c r="AN27" s="73">
        <f t="shared" si="48"/>
        <v>3.5572968251325103</v>
      </c>
      <c r="AO27" s="73">
        <f t="shared" si="48"/>
        <v>3.5572968251325099</v>
      </c>
      <c r="AT27" s="48"/>
    </row>
    <row r="28" spans="1:46" s="53" customFormat="1" ht="13.5" x14ac:dyDescent="0.25">
      <c r="A28" s="48"/>
      <c r="B28" s="646"/>
      <c r="C28" s="645"/>
      <c r="D28" s="83"/>
      <c r="E28" s="68" t="s">
        <v>179</v>
      </c>
      <c r="F28" s="67"/>
      <c r="G28" s="73">
        <f t="shared" ref="G28:AO28" si="49">G27*1.162*1000/50</f>
        <v>108.33496749024707</v>
      </c>
      <c r="H28" s="73">
        <f t="shared" si="49"/>
        <v>99.428072800674812</v>
      </c>
      <c r="I28" s="73">
        <f t="shared" si="49"/>
        <v>98.558077163668912</v>
      </c>
      <c r="J28" s="73">
        <f t="shared" si="49"/>
        <v>97.695693988486823</v>
      </c>
      <c r="K28" s="73">
        <f t="shared" si="49"/>
        <v>96.840856666087547</v>
      </c>
      <c r="L28" s="73">
        <f t="shared" si="49"/>
        <v>95.99349917025927</v>
      </c>
      <c r="M28" s="73">
        <f t="shared" si="49"/>
        <v>95.153556052519505</v>
      </c>
      <c r="N28" s="73">
        <f t="shared" si="49"/>
        <v>94.320962437059976</v>
      </c>
      <c r="O28" s="73">
        <f t="shared" si="49"/>
        <v>93.49565401573571</v>
      </c>
      <c r="P28" s="73">
        <f t="shared" si="49"/>
        <v>92.677567043097994</v>
      </c>
      <c r="Q28" s="73">
        <f t="shared" si="49"/>
        <v>91.866638331470881</v>
      </c>
      <c r="R28" s="73">
        <f t="shared" si="49"/>
        <v>91.062805246070525</v>
      </c>
      <c r="S28" s="73">
        <f t="shared" si="49"/>
        <v>90.266005700167412</v>
      </c>
      <c r="T28" s="73">
        <f t="shared" si="49"/>
        <v>89.476178150290949</v>
      </c>
      <c r="U28" s="73">
        <f t="shared" si="49"/>
        <v>88.693261591475888</v>
      </c>
      <c r="V28" s="73">
        <f t="shared" si="49"/>
        <v>87.917195552550481</v>
      </c>
      <c r="W28" s="73">
        <f t="shared" si="49"/>
        <v>87.147920091465664</v>
      </c>
      <c r="X28" s="73">
        <f t="shared" si="49"/>
        <v>86.385375790665336</v>
      </c>
      <c r="Y28" s="73">
        <f t="shared" si="49"/>
        <v>85.629503752497016</v>
      </c>
      <c r="Z28" s="73">
        <f t="shared" si="49"/>
        <v>84.880245594662668</v>
      </c>
      <c r="AA28" s="73">
        <f t="shared" si="49"/>
        <v>84.137543445709355</v>
      </c>
      <c r="AB28" s="73">
        <f t="shared" si="49"/>
        <v>83.40133994055941</v>
      </c>
      <c r="AC28" s="73">
        <f t="shared" si="49"/>
        <v>82.67157821607951</v>
      </c>
      <c r="AD28" s="73">
        <f t="shared" si="49"/>
        <v>82.67157821607951</v>
      </c>
      <c r="AE28" s="73">
        <f t="shared" si="49"/>
        <v>82.67157821607951</v>
      </c>
      <c r="AF28" s="73">
        <f t="shared" si="49"/>
        <v>82.671578216079524</v>
      </c>
      <c r="AG28" s="73">
        <f t="shared" si="49"/>
        <v>82.671578216079538</v>
      </c>
      <c r="AH28" s="73">
        <f t="shared" si="49"/>
        <v>82.671578216079524</v>
      </c>
      <c r="AI28" s="73">
        <f t="shared" si="49"/>
        <v>82.671578216079524</v>
      </c>
      <c r="AJ28" s="73">
        <f t="shared" si="49"/>
        <v>82.671578216079538</v>
      </c>
      <c r="AK28" s="73">
        <f t="shared" si="49"/>
        <v>82.671578216079538</v>
      </c>
      <c r="AL28" s="73">
        <f t="shared" si="49"/>
        <v>82.671578216079538</v>
      </c>
      <c r="AM28" s="73">
        <f t="shared" si="49"/>
        <v>82.671578216079538</v>
      </c>
      <c r="AN28" s="73">
        <f t="shared" si="49"/>
        <v>82.671578216079538</v>
      </c>
      <c r="AO28" s="73">
        <f t="shared" si="49"/>
        <v>82.671578216079524</v>
      </c>
      <c r="AT28" s="48"/>
    </row>
    <row r="29" spans="1:46" s="53" customFormat="1" ht="13.5" x14ac:dyDescent="0.25">
      <c r="A29" s="48"/>
      <c r="B29" s="56">
        <f>B26+1</f>
        <v>19</v>
      </c>
      <c r="C29" s="87" t="s">
        <v>180</v>
      </c>
      <c r="D29" s="88"/>
      <c r="E29" s="89" t="s">
        <v>181</v>
      </c>
      <c r="F29" s="90"/>
      <c r="G29" s="73">
        <f t="shared" ref="G29:AC29" si="50">G21/G17</f>
        <v>0.11074300341296928</v>
      </c>
      <c r="H29" s="60">
        <f t="shared" si="50"/>
        <v>0.15564544870848707</v>
      </c>
      <c r="I29" s="61">
        <f t="shared" si="50"/>
        <v>0.15292165335608857</v>
      </c>
      <c r="J29" s="60">
        <f t="shared" si="50"/>
        <v>0.150245524422357</v>
      </c>
      <c r="K29" s="60">
        <f t="shared" si="50"/>
        <v>0.14761622774496577</v>
      </c>
      <c r="L29" s="60">
        <f t="shared" si="50"/>
        <v>0.14503294375942888</v>
      </c>
      <c r="M29" s="60">
        <f t="shared" si="50"/>
        <v>0.14249486724363886</v>
      </c>
      <c r="N29" s="60">
        <f t="shared" si="50"/>
        <v>0.14000120706687519</v>
      </c>
      <c r="O29" s="60">
        <f t="shared" si="50"/>
        <v>0.13755118594320487</v>
      </c>
      <c r="P29" s="60">
        <f t="shared" si="50"/>
        <v>0.13514404018919879</v>
      </c>
      <c r="Q29" s="60">
        <f t="shared" si="50"/>
        <v>0.1327790194858878</v>
      </c>
      <c r="R29" s="60">
        <f t="shared" si="50"/>
        <v>0.13045538664488476</v>
      </c>
      <c r="S29" s="60">
        <f t="shared" si="50"/>
        <v>0.13045538664488476</v>
      </c>
      <c r="T29" s="60">
        <f t="shared" si="50"/>
        <v>0.13045538664488476</v>
      </c>
      <c r="U29" s="60">
        <f t="shared" si="50"/>
        <v>0.13045538664488476</v>
      </c>
      <c r="V29" s="60">
        <f t="shared" si="50"/>
        <v>0.13045538664488476</v>
      </c>
      <c r="W29" s="60">
        <f t="shared" si="50"/>
        <v>0.13045538664488476</v>
      </c>
      <c r="X29" s="60">
        <f t="shared" si="50"/>
        <v>0.13045538664488476</v>
      </c>
      <c r="Y29" s="60">
        <f t="shared" si="50"/>
        <v>0.13045538664488476</v>
      </c>
      <c r="Z29" s="60">
        <f t="shared" si="50"/>
        <v>0.13045538664488476</v>
      </c>
      <c r="AA29" s="60">
        <f t="shared" si="50"/>
        <v>0.13045538664488476</v>
      </c>
      <c r="AB29" s="60">
        <f t="shared" si="50"/>
        <v>0.13045538664488476</v>
      </c>
      <c r="AC29" s="60">
        <f t="shared" si="50"/>
        <v>0.13045538664488476</v>
      </c>
      <c r="AD29" s="60">
        <f t="shared" ref="AD29:AO29" si="51">AD21/AD17</f>
        <v>0.13045538664488476</v>
      </c>
      <c r="AE29" s="60">
        <f t="shared" si="51"/>
        <v>0.13045538664488476</v>
      </c>
      <c r="AF29" s="60">
        <f t="shared" si="51"/>
        <v>0.13045538664488476</v>
      </c>
      <c r="AG29" s="60">
        <f t="shared" si="51"/>
        <v>0.13045538664488476</v>
      </c>
      <c r="AH29" s="60">
        <f t="shared" si="51"/>
        <v>0.13045538664488476</v>
      </c>
      <c r="AI29" s="60">
        <f t="shared" si="51"/>
        <v>0.13045538664488476</v>
      </c>
      <c r="AJ29" s="60">
        <f t="shared" si="51"/>
        <v>0.13045538664488476</v>
      </c>
      <c r="AK29" s="60">
        <f t="shared" si="51"/>
        <v>0.13045538664488476</v>
      </c>
      <c r="AL29" s="60">
        <f t="shared" si="51"/>
        <v>0.13045538664488476</v>
      </c>
      <c r="AM29" s="60">
        <f t="shared" si="51"/>
        <v>0.13045538664488476</v>
      </c>
      <c r="AN29" s="60">
        <f t="shared" si="51"/>
        <v>0.13045538664488476</v>
      </c>
      <c r="AO29" s="60">
        <f t="shared" si="51"/>
        <v>0.13045538664488476</v>
      </c>
      <c r="AT29" s="48"/>
    </row>
    <row r="30" spans="1:46" s="53" customFormat="1" ht="13.5" x14ac:dyDescent="0.25">
      <c r="A30" s="48"/>
      <c r="G30" s="91"/>
      <c r="H30" s="91"/>
      <c r="I30" s="529">
        <f>I25/AB25-1</f>
        <v>0.19044242370107378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T30" s="48"/>
    </row>
    <row r="31" spans="1:46" s="53" customFormat="1" ht="13.5" x14ac:dyDescent="0.25">
      <c r="A31" s="48"/>
      <c r="B31" s="53">
        <f>B29+1</f>
        <v>20</v>
      </c>
      <c r="C31" s="92" t="s">
        <v>182</v>
      </c>
      <c r="D31" s="93"/>
      <c r="E31" s="94"/>
      <c r="F31" s="95"/>
      <c r="G31" s="530">
        <v>7324</v>
      </c>
      <c r="H31" s="531">
        <v>7129.1815999999999</v>
      </c>
      <c r="I31" s="97">
        <f>H31-H31*2.66%</f>
        <v>6939.5453694400003</v>
      </c>
      <c r="J31" s="97">
        <f>I31-I31*2.66%</f>
        <v>6754.9534626128961</v>
      </c>
      <c r="K31" s="97">
        <f t="shared" ref="K31:M31" si="52">J31-J31*2.66%</f>
        <v>6575.2717005073928</v>
      </c>
      <c r="L31" s="97">
        <f t="shared" si="52"/>
        <v>6400.3694732738959</v>
      </c>
      <c r="M31" s="97">
        <f t="shared" si="52"/>
        <v>6230.1196452848098</v>
      </c>
      <c r="N31" s="96">
        <f t="shared" ref="N31:AC31" si="53">M31-M31*1%</f>
        <v>6167.8184488319621</v>
      </c>
      <c r="O31" s="96">
        <f t="shared" si="53"/>
        <v>6106.1402643436422</v>
      </c>
      <c r="P31" s="96">
        <f t="shared" si="53"/>
        <v>6045.0788617002054</v>
      </c>
      <c r="Q31" s="96">
        <f t="shared" si="53"/>
        <v>5984.6280730832032</v>
      </c>
      <c r="R31" s="96">
        <f t="shared" si="53"/>
        <v>5924.7817923523708</v>
      </c>
      <c r="S31" s="96">
        <f t="shared" si="53"/>
        <v>5865.5339744288467</v>
      </c>
      <c r="T31" s="96">
        <f t="shared" si="53"/>
        <v>5806.8786346845582</v>
      </c>
      <c r="U31" s="96">
        <f t="shared" si="53"/>
        <v>5748.8098483377125</v>
      </c>
      <c r="V31" s="96">
        <f t="shared" si="53"/>
        <v>5691.3217498543354</v>
      </c>
      <c r="W31" s="96">
        <f t="shared" si="53"/>
        <v>5634.408532355792</v>
      </c>
      <c r="X31" s="96">
        <f t="shared" si="53"/>
        <v>5578.0644470322341</v>
      </c>
      <c r="Y31" s="96">
        <f t="shared" si="53"/>
        <v>5522.2838025619121</v>
      </c>
      <c r="Z31" s="96">
        <f t="shared" si="53"/>
        <v>5467.0609645362929</v>
      </c>
      <c r="AA31" s="96">
        <f t="shared" si="53"/>
        <v>5412.3903548909302</v>
      </c>
      <c r="AB31" s="96">
        <f t="shared" si="53"/>
        <v>5358.2664513420214</v>
      </c>
      <c r="AC31" s="96">
        <f t="shared" si="53"/>
        <v>5304.6837868286011</v>
      </c>
      <c r="AD31" s="96">
        <f t="shared" ref="AD31:AO31" si="54">AC31-AC31*1%</f>
        <v>5251.6369489603148</v>
      </c>
      <c r="AE31" s="96">
        <f t="shared" si="54"/>
        <v>5199.1205794707121</v>
      </c>
      <c r="AF31" s="96">
        <f t="shared" si="54"/>
        <v>5147.1293736760053</v>
      </c>
      <c r="AG31" s="96">
        <f t="shared" si="54"/>
        <v>5095.658079939245</v>
      </c>
      <c r="AH31" s="96">
        <f t="shared" si="54"/>
        <v>5044.7014991398528</v>
      </c>
      <c r="AI31" s="96">
        <f t="shared" si="54"/>
        <v>4994.2544841484541</v>
      </c>
      <c r="AJ31" s="96">
        <f t="shared" si="54"/>
        <v>4944.3119393069692</v>
      </c>
      <c r="AK31" s="96">
        <f t="shared" si="54"/>
        <v>4894.8688199138996</v>
      </c>
      <c r="AL31" s="96">
        <f t="shared" si="54"/>
        <v>4845.9201317147608</v>
      </c>
      <c r="AM31" s="96">
        <f t="shared" si="54"/>
        <v>4797.4609303976131</v>
      </c>
      <c r="AN31" s="96">
        <f t="shared" si="54"/>
        <v>4749.4863210936373</v>
      </c>
      <c r="AO31" s="96">
        <f t="shared" si="54"/>
        <v>4701.9914578827011</v>
      </c>
      <c r="AT31" s="48"/>
    </row>
    <row r="32" spans="1:46" s="53" customFormat="1" ht="13.5" x14ac:dyDescent="0.25">
      <c r="A32" s="48"/>
      <c r="B32" s="53">
        <f>B31+1</f>
        <v>21</v>
      </c>
      <c r="C32" s="92" t="s">
        <v>183</v>
      </c>
      <c r="D32" s="93"/>
      <c r="E32" s="94"/>
      <c r="F32" s="95"/>
      <c r="G32" s="531">
        <v>8056</v>
      </c>
      <c r="H32" s="531">
        <v>7927.9096</v>
      </c>
      <c r="I32" s="97">
        <f>H32-H32*1.59%</f>
        <v>7801.8558373599999</v>
      </c>
      <c r="J32" s="97">
        <f>I32-I32*1.59%</f>
        <v>7677.806329545976</v>
      </c>
      <c r="K32" s="97">
        <f t="shared" ref="K32:M32" si="55">J32-J32*1.59%</f>
        <v>7555.7292089061948</v>
      </c>
      <c r="L32" s="97">
        <f t="shared" si="55"/>
        <v>7435.5931144845863</v>
      </c>
      <c r="M32" s="97">
        <f t="shared" si="55"/>
        <v>7317.3671839642811</v>
      </c>
      <c r="N32" s="97">
        <f t="shared" ref="N32:AO32" si="56">M32-M32*1%</f>
        <v>7244.1935121246379</v>
      </c>
      <c r="O32" s="97">
        <f t="shared" si="56"/>
        <v>7171.7515770033915</v>
      </c>
      <c r="P32" s="97">
        <f t="shared" si="56"/>
        <v>7100.0340612333575</v>
      </c>
      <c r="Q32" s="97">
        <f t="shared" si="56"/>
        <v>7029.0337206210243</v>
      </c>
      <c r="R32" s="97">
        <f t="shared" si="56"/>
        <v>6958.7433834148142</v>
      </c>
      <c r="S32" s="97">
        <f t="shared" si="56"/>
        <v>6889.1559495806659</v>
      </c>
      <c r="T32" s="97">
        <f t="shared" si="56"/>
        <v>6820.2643900848589</v>
      </c>
      <c r="U32" s="97">
        <f t="shared" si="56"/>
        <v>6752.0617461840102</v>
      </c>
      <c r="V32" s="97">
        <f t="shared" si="56"/>
        <v>6684.5411287221705</v>
      </c>
      <c r="W32" s="97">
        <f t="shared" si="56"/>
        <v>6617.6957174349491</v>
      </c>
      <c r="X32" s="97">
        <f t="shared" si="56"/>
        <v>6551.5187602605993</v>
      </c>
      <c r="Y32" s="97">
        <f t="shared" si="56"/>
        <v>6486.0035726579936</v>
      </c>
      <c r="Z32" s="97">
        <f t="shared" si="56"/>
        <v>6421.143536931414</v>
      </c>
      <c r="AA32" s="97">
        <f t="shared" si="56"/>
        <v>6356.9321015620999</v>
      </c>
      <c r="AB32" s="97">
        <f t="shared" si="56"/>
        <v>6293.3627805464785</v>
      </c>
      <c r="AC32" s="97">
        <f t="shared" si="56"/>
        <v>6230.4291527410132</v>
      </c>
      <c r="AD32" s="97">
        <f t="shared" si="56"/>
        <v>6168.1248612136033</v>
      </c>
      <c r="AE32" s="97">
        <f t="shared" si="56"/>
        <v>6106.4436126014671</v>
      </c>
      <c r="AF32" s="97">
        <f t="shared" si="56"/>
        <v>6045.3791764754524</v>
      </c>
      <c r="AG32" s="97">
        <f t="shared" si="56"/>
        <v>5984.9253847106975</v>
      </c>
      <c r="AH32" s="97">
        <f t="shared" si="56"/>
        <v>5925.0761308635902</v>
      </c>
      <c r="AI32" s="97">
        <f t="shared" si="56"/>
        <v>5865.8253695549538</v>
      </c>
      <c r="AJ32" s="97">
        <f t="shared" si="56"/>
        <v>5807.1671158594045</v>
      </c>
      <c r="AK32" s="97">
        <f t="shared" si="56"/>
        <v>5749.0954447008107</v>
      </c>
      <c r="AL32" s="97">
        <f t="shared" si="56"/>
        <v>5691.6044902538024</v>
      </c>
      <c r="AM32" s="97">
        <f t="shared" si="56"/>
        <v>5634.6884453512648</v>
      </c>
      <c r="AN32" s="97">
        <f t="shared" si="56"/>
        <v>5578.3415608977521</v>
      </c>
      <c r="AO32" s="97">
        <f t="shared" si="56"/>
        <v>5522.5581452887745</v>
      </c>
      <c r="AT32" s="48"/>
    </row>
    <row r="33" spans="1:46" s="80" customFormat="1" ht="15" x14ac:dyDescent="0.3">
      <c r="A33" s="74"/>
      <c r="B33" s="53">
        <f t="shared" ref="B33:B34" si="57">B32+1</f>
        <v>22</v>
      </c>
      <c r="C33" s="98" t="s">
        <v>184</v>
      </c>
      <c r="D33" s="99"/>
      <c r="E33" s="100"/>
      <c r="F33" s="101"/>
      <c r="G33" s="102">
        <f>SUM(G31:G32)</f>
        <v>15380</v>
      </c>
      <c r="H33" s="102">
        <f t="shared" ref="H33:AO33" si="58">SUM(H31:H32)</f>
        <v>15057.091199999999</v>
      </c>
      <c r="I33" s="102">
        <f t="shared" si="58"/>
        <v>14741.401206800001</v>
      </c>
      <c r="J33" s="102">
        <f t="shared" si="58"/>
        <v>14432.759792158871</v>
      </c>
      <c r="K33" s="102">
        <f t="shared" si="58"/>
        <v>14131.000909413588</v>
      </c>
      <c r="L33" s="102">
        <f t="shared" si="58"/>
        <v>13835.962587758482</v>
      </c>
      <c r="M33" s="102">
        <f t="shared" si="58"/>
        <v>13547.48682924909</v>
      </c>
      <c r="N33" s="102">
        <f t="shared" si="58"/>
        <v>13412.011960956599</v>
      </c>
      <c r="O33" s="102">
        <f t="shared" si="58"/>
        <v>13277.891841347035</v>
      </c>
      <c r="P33" s="102">
        <f t="shared" si="58"/>
        <v>13145.112922933564</v>
      </c>
      <c r="Q33" s="102">
        <f t="shared" si="58"/>
        <v>13013.661793704228</v>
      </c>
      <c r="R33" s="102">
        <f t="shared" si="58"/>
        <v>12883.525175767185</v>
      </c>
      <c r="S33" s="102">
        <f t="shared" si="58"/>
        <v>12754.689924009512</v>
      </c>
      <c r="T33" s="102">
        <f t="shared" si="58"/>
        <v>12627.143024769417</v>
      </c>
      <c r="U33" s="102">
        <f t="shared" si="58"/>
        <v>12500.871594521723</v>
      </c>
      <c r="V33" s="102">
        <f t="shared" si="58"/>
        <v>12375.862878576507</v>
      </c>
      <c r="W33" s="102">
        <f t="shared" si="58"/>
        <v>12252.10424979074</v>
      </c>
      <c r="X33" s="102">
        <f t="shared" si="58"/>
        <v>12129.583207292833</v>
      </c>
      <c r="Y33" s="102">
        <f t="shared" si="58"/>
        <v>12008.287375219905</v>
      </c>
      <c r="Z33" s="102">
        <f t="shared" si="58"/>
        <v>11888.204501467706</v>
      </c>
      <c r="AA33" s="102">
        <f t="shared" si="58"/>
        <v>11769.32245645303</v>
      </c>
      <c r="AB33" s="102">
        <f t="shared" si="58"/>
        <v>11651.629231888499</v>
      </c>
      <c r="AC33" s="102">
        <f t="shared" si="58"/>
        <v>11535.112939569615</v>
      </c>
      <c r="AD33" s="102">
        <f t="shared" si="58"/>
        <v>11419.761810173917</v>
      </c>
      <c r="AE33" s="102">
        <f t="shared" si="58"/>
        <v>11305.564192072179</v>
      </c>
      <c r="AF33" s="102">
        <f t="shared" si="58"/>
        <v>11192.508550151459</v>
      </c>
      <c r="AG33" s="102">
        <f t="shared" si="58"/>
        <v>11080.583464649942</v>
      </c>
      <c r="AH33" s="102">
        <f t="shared" si="58"/>
        <v>10969.777630003442</v>
      </c>
      <c r="AI33" s="102">
        <f t="shared" si="58"/>
        <v>10860.079853703408</v>
      </c>
      <c r="AJ33" s="102">
        <f t="shared" si="58"/>
        <v>10751.479055166374</v>
      </c>
      <c r="AK33" s="102">
        <f t="shared" si="58"/>
        <v>10643.964264614711</v>
      </c>
      <c r="AL33" s="102">
        <f t="shared" si="58"/>
        <v>10537.524621968563</v>
      </c>
      <c r="AM33" s="102">
        <f t="shared" si="58"/>
        <v>10432.149375748879</v>
      </c>
      <c r="AN33" s="102">
        <f t="shared" si="58"/>
        <v>10327.82788199139</v>
      </c>
      <c r="AO33" s="102">
        <f t="shared" si="58"/>
        <v>10224.549603171476</v>
      </c>
      <c r="AT33" s="74"/>
    </row>
    <row r="34" spans="1:46" s="53" customFormat="1" ht="13.5" x14ac:dyDescent="0.25">
      <c r="A34" s="48"/>
      <c r="B34" s="53">
        <f t="shared" si="57"/>
        <v>23</v>
      </c>
      <c r="C34" s="92" t="s">
        <v>185</v>
      </c>
      <c r="D34" s="93"/>
      <c r="E34" s="94"/>
      <c r="F34" s="95"/>
      <c r="G34" s="531">
        <v>485</v>
      </c>
      <c r="H34" s="96">
        <f t="shared" ref="H34:AC34" si="59">G33-H33</f>
        <v>322.90880000000107</v>
      </c>
      <c r="I34" s="96">
        <f t="shared" si="59"/>
        <v>315.68999319999784</v>
      </c>
      <c r="J34" s="96">
        <f t="shared" si="59"/>
        <v>308.64141464112981</v>
      </c>
      <c r="K34" s="96">
        <f t="shared" si="59"/>
        <v>301.7588827452837</v>
      </c>
      <c r="L34" s="96">
        <f t="shared" si="59"/>
        <v>295.03832165510539</v>
      </c>
      <c r="M34" s="96">
        <f t="shared" si="59"/>
        <v>288.47575850939211</v>
      </c>
      <c r="N34" s="96">
        <f t="shared" si="59"/>
        <v>135.47486829249101</v>
      </c>
      <c r="O34" s="96">
        <f t="shared" si="59"/>
        <v>134.12011960956443</v>
      </c>
      <c r="P34" s="96">
        <f t="shared" si="59"/>
        <v>132.77891841347082</v>
      </c>
      <c r="Q34" s="96">
        <f t="shared" si="59"/>
        <v>131.45112922933549</v>
      </c>
      <c r="R34" s="96">
        <f t="shared" si="59"/>
        <v>130.13661793704341</v>
      </c>
      <c r="S34" s="96">
        <f t="shared" si="59"/>
        <v>128.83525175767318</v>
      </c>
      <c r="T34" s="96">
        <f t="shared" si="59"/>
        <v>127.54689924009472</v>
      </c>
      <c r="U34" s="96">
        <f t="shared" si="59"/>
        <v>126.2714302476943</v>
      </c>
      <c r="V34" s="96">
        <f t="shared" si="59"/>
        <v>125.00871594521595</v>
      </c>
      <c r="W34" s="96">
        <f t="shared" si="59"/>
        <v>123.75862878576663</v>
      </c>
      <c r="X34" s="96">
        <f t="shared" si="59"/>
        <v>122.52104249790682</v>
      </c>
      <c r="Y34" s="96">
        <f t="shared" si="59"/>
        <v>121.29583207292853</v>
      </c>
      <c r="Z34" s="96">
        <f t="shared" si="59"/>
        <v>120.08287375219879</v>
      </c>
      <c r="AA34" s="96">
        <f t="shared" si="59"/>
        <v>118.8820450146759</v>
      </c>
      <c r="AB34" s="96">
        <f t="shared" si="59"/>
        <v>117.69322456453119</v>
      </c>
      <c r="AC34" s="96">
        <f t="shared" si="59"/>
        <v>116.51629231888364</v>
      </c>
      <c r="AD34" s="96">
        <f t="shared" ref="AD34" si="60">AC33-AD33</f>
        <v>115.35112939569808</v>
      </c>
      <c r="AE34" s="96">
        <f t="shared" ref="AE34" si="61">AD33-AE33</f>
        <v>114.19761810173804</v>
      </c>
      <c r="AF34" s="96">
        <f t="shared" ref="AF34" si="62">AE33-AF33</f>
        <v>113.05564192072052</v>
      </c>
      <c r="AG34" s="96">
        <f t="shared" ref="AG34" si="63">AF33-AG33</f>
        <v>111.92508550151615</v>
      </c>
      <c r="AH34" s="96">
        <f t="shared" ref="AH34" si="64">AG33-AH33</f>
        <v>110.80583464650044</v>
      </c>
      <c r="AI34" s="96">
        <f t="shared" ref="AI34" si="65">AH33-AI33</f>
        <v>109.69777630003409</v>
      </c>
      <c r="AJ34" s="96">
        <f t="shared" ref="AJ34" si="66">AI33-AJ33</f>
        <v>108.60079853703428</v>
      </c>
      <c r="AK34" s="96">
        <f t="shared" ref="AK34" si="67">AJ33-AK33</f>
        <v>107.51479055166237</v>
      </c>
      <c r="AL34" s="96">
        <f t="shared" ref="AL34" si="68">AK33-AL33</f>
        <v>106.43964264614806</v>
      </c>
      <c r="AM34" s="96">
        <f t="shared" ref="AM34" si="69">AL33-AM33</f>
        <v>105.37524621968441</v>
      </c>
      <c r="AN34" s="96">
        <f t="shared" ref="AN34" si="70">AM33-AN33</f>
        <v>104.3214937574885</v>
      </c>
      <c r="AO34" s="96">
        <f t="shared" ref="AO34" si="71">AN33-AO33</f>
        <v>103.2782788199147</v>
      </c>
      <c r="AT34" s="48"/>
    </row>
    <row r="35" spans="1:46" s="53" customFormat="1" ht="13.5" x14ac:dyDescent="0.25">
      <c r="A35" s="48"/>
      <c r="G35" s="91"/>
      <c r="H35" s="69"/>
      <c r="I35" s="533"/>
      <c r="J35" s="69"/>
      <c r="K35" s="69"/>
      <c r="L35" s="69"/>
      <c r="M35" s="69"/>
      <c r="N35" s="69"/>
      <c r="O35" s="69"/>
      <c r="P35" s="69"/>
      <c r="Q35" s="69"/>
      <c r="R35" s="69"/>
      <c r="S35" s="91"/>
      <c r="T35" s="91"/>
      <c r="U35" s="91"/>
      <c r="V35" s="91"/>
      <c r="W35" s="91"/>
      <c r="X35" s="91"/>
      <c r="Y35" s="91"/>
      <c r="Z35" s="91"/>
      <c r="AA35" s="91"/>
      <c r="AB35" s="91"/>
      <c r="AT35" s="48"/>
    </row>
    <row r="36" spans="1:46" s="53" customFormat="1" ht="14.25" thickBot="1" x14ac:dyDescent="0.3">
      <c r="A36" s="48"/>
      <c r="B36" s="48"/>
      <c r="C36" s="48"/>
      <c r="D36" s="48"/>
      <c r="E36" s="48"/>
      <c r="F36" s="48"/>
      <c r="G36" s="48"/>
      <c r="H36" s="48"/>
      <c r="I36" s="52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 spans="1:46" s="53" customFormat="1" ht="17.25" thickBot="1" x14ac:dyDescent="0.3">
      <c r="A37" s="48"/>
      <c r="B37" s="48"/>
      <c r="C37" s="615" t="s">
        <v>186</v>
      </c>
      <c r="D37" s="616"/>
      <c r="E37" s="616"/>
      <c r="F37" s="616"/>
      <c r="G37" s="616"/>
      <c r="H37" s="617"/>
      <c r="I37" s="5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 spans="1:46" s="53" customFormat="1" ht="14.25" thickBot="1" x14ac:dyDescent="0.3">
      <c r="A38" s="48"/>
      <c r="B38" s="54"/>
      <c r="C38" s="54"/>
      <c r="D38" s="54"/>
      <c r="E38" s="54"/>
      <c r="F38" s="54"/>
      <c r="G38" s="104"/>
      <c r="H38" s="104"/>
      <c r="I38" s="105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T38" s="48"/>
    </row>
    <row r="39" spans="1:46" s="53" customFormat="1" ht="15.75" thickBot="1" x14ac:dyDescent="0.3">
      <c r="A39" s="48"/>
      <c r="B39" s="54"/>
      <c r="C39" s="106" t="s">
        <v>214</v>
      </c>
      <c r="D39" s="54"/>
      <c r="E39" s="54"/>
      <c r="F39" s="54"/>
      <c r="G39" s="104"/>
      <c r="H39" s="104"/>
      <c r="I39" s="105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T39" s="48"/>
    </row>
    <row r="40" spans="1:46" s="53" customFormat="1" ht="13.5" x14ac:dyDescent="0.25">
      <c r="A40" s="48"/>
      <c r="B40" s="107">
        <f>B34+1</f>
        <v>24</v>
      </c>
      <c r="C40" s="108" t="s">
        <v>187</v>
      </c>
      <c r="D40" s="109"/>
      <c r="E40" s="110" t="s">
        <v>188</v>
      </c>
      <c r="F40" s="88"/>
      <c r="G40" s="73">
        <f t="shared" ref="G40:AO40" si="72">G24</f>
        <v>644.41969559999995</v>
      </c>
      <c r="H40" s="73">
        <f t="shared" si="72"/>
        <v>627.36685919999991</v>
      </c>
      <c r="I40" s="86">
        <f t="shared" si="72"/>
        <v>617.92530080233951</v>
      </c>
      <c r="J40" s="73">
        <f t="shared" si="72"/>
        <v>608.75237755496948</v>
      </c>
      <c r="K40" s="73">
        <f t="shared" si="72"/>
        <v>599.84001577078038</v>
      </c>
      <c r="L40" s="73">
        <f t="shared" si="72"/>
        <v>591.18039514353109</v>
      </c>
      <c r="M40" s="73">
        <f t="shared" si="72"/>
        <v>582.76594053284441</v>
      </c>
      <c r="N40" s="73">
        <f t="shared" si="72"/>
        <v>577.08026927490869</v>
      </c>
      <c r="O40" s="73">
        <f t="shared" si="72"/>
        <v>571.49913566388841</v>
      </c>
      <c r="P40" s="73">
        <f t="shared" si="72"/>
        <v>566.02061626182422</v>
      </c>
      <c r="Q40" s="73">
        <f t="shared" si="72"/>
        <v>560.64282304574022</v>
      </c>
      <c r="R40" s="73">
        <f t="shared" si="72"/>
        <v>555.36390275513168</v>
      </c>
      <c r="S40" s="73">
        <f t="shared" si="72"/>
        <v>551.41940559381101</v>
      </c>
      <c r="T40" s="73">
        <f t="shared" si="72"/>
        <v>547.54852261076348</v>
      </c>
      <c r="U40" s="73">
        <f t="shared" si="72"/>
        <v>543.74987998138704</v>
      </c>
      <c r="V40" s="73">
        <f t="shared" si="72"/>
        <v>540.02212952008153</v>
      </c>
      <c r="W40" s="73">
        <f t="shared" si="72"/>
        <v>536.36394820175997</v>
      </c>
      <c r="X40" s="73">
        <f t="shared" si="72"/>
        <v>532.77403769229159</v>
      </c>
      <c r="Y40" s="73">
        <f t="shared" si="72"/>
        <v>529.25112388770617</v>
      </c>
      <c r="Z40" s="73">
        <f t="shared" si="72"/>
        <v>525.79395646199896</v>
      </c>
      <c r="AA40" s="73">
        <f t="shared" si="72"/>
        <v>522.40130842337385</v>
      </c>
      <c r="AB40" s="73">
        <f t="shared" si="72"/>
        <v>519.07197567876972</v>
      </c>
      <c r="AC40" s="73">
        <f t="shared" si="72"/>
        <v>515.80477660651172</v>
      </c>
      <c r="AD40" s="73">
        <f t="shared" si="72"/>
        <v>514.08677260406182</v>
      </c>
      <c r="AE40" s="73">
        <f t="shared" si="72"/>
        <v>512.38594864163645</v>
      </c>
      <c r="AF40" s="73">
        <f t="shared" si="72"/>
        <v>510.70213291883545</v>
      </c>
      <c r="AG40" s="73">
        <f t="shared" si="72"/>
        <v>509.03515535326233</v>
      </c>
      <c r="AH40" s="73">
        <f t="shared" si="72"/>
        <v>507.38484756334492</v>
      </c>
      <c r="AI40" s="73">
        <f t="shared" si="72"/>
        <v>505.75104285132682</v>
      </c>
      <c r="AJ40" s="73">
        <f t="shared" si="72"/>
        <v>504.1335761864288</v>
      </c>
      <c r="AK40" s="73">
        <f t="shared" si="72"/>
        <v>502.5322841881798</v>
      </c>
      <c r="AL40" s="73">
        <f t="shared" si="72"/>
        <v>500.94700510991328</v>
      </c>
      <c r="AM40" s="73">
        <f t="shared" si="72"/>
        <v>499.37757882242943</v>
      </c>
      <c r="AN40" s="73">
        <f t="shared" si="72"/>
        <v>497.82384679782041</v>
      </c>
      <c r="AO40" s="73">
        <f t="shared" si="72"/>
        <v>496.28565209345743</v>
      </c>
      <c r="AT40" s="48"/>
    </row>
    <row r="41" spans="1:46" s="53" customFormat="1" ht="13.5" x14ac:dyDescent="0.25">
      <c r="A41" s="48"/>
      <c r="B41" s="107">
        <f>B40+1</f>
        <v>25</v>
      </c>
      <c r="C41" s="111" t="s">
        <v>189</v>
      </c>
      <c r="D41" s="109"/>
      <c r="E41" s="110" t="s">
        <v>188</v>
      </c>
      <c r="F41" s="88"/>
      <c r="G41" s="73">
        <f t="shared" ref="G41:AO41" si="73">G22</f>
        <v>365.06802599999997</v>
      </c>
      <c r="H41" s="73">
        <f t="shared" si="73"/>
        <v>354.06930239999997</v>
      </c>
      <c r="I41" s="86">
        <f t="shared" si="73"/>
        <v>344.62774400233957</v>
      </c>
      <c r="J41" s="73">
        <f t="shared" si="73"/>
        <v>335.45482075496955</v>
      </c>
      <c r="K41" s="73">
        <f t="shared" si="73"/>
        <v>326.54245897078039</v>
      </c>
      <c r="L41" s="73">
        <f t="shared" si="73"/>
        <v>317.88283834353115</v>
      </c>
      <c r="M41" s="73">
        <f t="shared" si="73"/>
        <v>309.46838373284447</v>
      </c>
      <c r="N41" s="73">
        <f t="shared" si="73"/>
        <v>303.78271247490881</v>
      </c>
      <c r="O41" s="73">
        <f t="shared" si="73"/>
        <v>298.20157886388847</v>
      </c>
      <c r="P41" s="73">
        <f t="shared" si="73"/>
        <v>292.72305946182433</v>
      </c>
      <c r="Q41" s="73">
        <f t="shared" si="73"/>
        <v>287.34526624574028</v>
      </c>
      <c r="R41" s="73">
        <f t="shared" si="73"/>
        <v>282.06634595513168</v>
      </c>
      <c r="S41" s="73">
        <f t="shared" si="73"/>
        <v>278.12184879381101</v>
      </c>
      <c r="T41" s="73">
        <f t="shared" si="73"/>
        <v>274.25096581076355</v>
      </c>
      <c r="U41" s="73">
        <f t="shared" si="73"/>
        <v>270.45232318138716</v>
      </c>
      <c r="V41" s="73">
        <f t="shared" si="73"/>
        <v>266.72457272008154</v>
      </c>
      <c r="W41" s="73">
        <f t="shared" si="73"/>
        <v>263.06639140176003</v>
      </c>
      <c r="X41" s="73">
        <f t="shared" si="73"/>
        <v>259.47648089229165</v>
      </c>
      <c r="Y41" s="73">
        <f t="shared" si="73"/>
        <v>255.95356708770629</v>
      </c>
      <c r="Z41" s="73">
        <f t="shared" si="73"/>
        <v>252.49639966199899</v>
      </c>
      <c r="AA41" s="73">
        <f t="shared" si="73"/>
        <v>249.10375162337397</v>
      </c>
      <c r="AB41" s="73">
        <f t="shared" si="73"/>
        <v>245.77441887876975</v>
      </c>
      <c r="AC41" s="73">
        <f t="shared" si="73"/>
        <v>242.50721980651173</v>
      </c>
      <c r="AD41" s="73">
        <f t="shared" si="73"/>
        <v>240.78921580406185</v>
      </c>
      <c r="AE41" s="73">
        <f t="shared" si="73"/>
        <v>239.08839184163654</v>
      </c>
      <c r="AF41" s="73">
        <f t="shared" si="73"/>
        <v>237.40457611883548</v>
      </c>
      <c r="AG41" s="73">
        <f t="shared" si="73"/>
        <v>235.73759855326239</v>
      </c>
      <c r="AH41" s="73">
        <f t="shared" si="73"/>
        <v>234.08729076334501</v>
      </c>
      <c r="AI41" s="73">
        <f t="shared" si="73"/>
        <v>232.45348605132685</v>
      </c>
      <c r="AJ41" s="73">
        <f t="shared" si="73"/>
        <v>230.83601938642886</v>
      </c>
      <c r="AK41" s="73">
        <f t="shared" si="73"/>
        <v>229.23472738817986</v>
      </c>
      <c r="AL41" s="73">
        <f t="shared" si="73"/>
        <v>227.64944830991334</v>
      </c>
      <c r="AM41" s="73">
        <f t="shared" si="73"/>
        <v>226.08002202242949</v>
      </c>
      <c r="AN41" s="73">
        <f t="shared" si="73"/>
        <v>224.52628999782047</v>
      </c>
      <c r="AO41" s="73">
        <f t="shared" si="73"/>
        <v>222.98809529345752</v>
      </c>
      <c r="AT41" s="48"/>
    </row>
    <row r="42" spans="1:46" s="53" customFormat="1" ht="15" x14ac:dyDescent="0.25">
      <c r="A42" s="48"/>
      <c r="B42" s="629">
        <f>B41+1</f>
        <v>26</v>
      </c>
      <c r="C42" s="631" t="s">
        <v>190</v>
      </c>
      <c r="D42" s="109"/>
      <c r="E42" s="112" t="s">
        <v>15</v>
      </c>
      <c r="F42" s="113"/>
      <c r="G42" s="73">
        <f t="shared" ref="G42:AC42" si="74">G43*100/G40</f>
        <v>43.349337630021374</v>
      </c>
      <c r="H42" s="73">
        <f t="shared" si="74"/>
        <v>43.562638477349772</v>
      </c>
      <c r="I42" s="86">
        <f t="shared" si="74"/>
        <v>44.228251609885405</v>
      </c>
      <c r="J42" s="73">
        <f t="shared" si="74"/>
        <v>44.894700518080782</v>
      </c>
      <c r="K42" s="73">
        <f t="shared" si="74"/>
        <v>45.561741400132995</v>
      </c>
      <c r="L42" s="73">
        <f t="shared" si="74"/>
        <v>46.229130574204305</v>
      </c>
      <c r="M42" s="73">
        <f t="shared" si="74"/>
        <v>46.896624835369394</v>
      </c>
      <c r="N42" s="73">
        <f t="shared" si="74"/>
        <v>47.358672848647828</v>
      </c>
      <c r="O42" s="73">
        <f t="shared" si="74"/>
        <v>47.821167127841896</v>
      </c>
      <c r="P42" s="73">
        <f t="shared" si="74"/>
        <v>48.284028699332865</v>
      </c>
      <c r="Q42" s="73">
        <f t="shared" si="74"/>
        <v>48.74717833990767</v>
      </c>
      <c r="R42" s="73">
        <f t="shared" si="74"/>
        <v>49.210536630880199</v>
      </c>
      <c r="S42" s="73">
        <f t="shared" si="74"/>
        <v>49.562556926282276</v>
      </c>
      <c r="T42" s="73">
        <f t="shared" si="74"/>
        <v>49.912938399850148</v>
      </c>
      <c r="U42" s="73">
        <f t="shared" si="74"/>
        <v>50.261630735321745</v>
      </c>
      <c r="V42" s="73">
        <f t="shared" si="74"/>
        <v>50.608584696867865</v>
      </c>
      <c r="W42" s="73">
        <f t="shared" si="74"/>
        <v>50.953752152110653</v>
      </c>
      <c r="X42" s="73">
        <f t="shared" si="74"/>
        <v>51.297086093719415</v>
      </c>
      <c r="Y42" s="73">
        <f t="shared" si="74"/>
        <v>51.638540659572946</v>
      </c>
      <c r="Z42" s="73">
        <f t="shared" si="74"/>
        <v>51.978071151480066</v>
      </c>
      <c r="AA42" s="73">
        <f t="shared" si="74"/>
        <v>52.315634052453262</v>
      </c>
      <c r="AB42" s="73">
        <f t="shared" si="74"/>
        <v>52.651187042532904</v>
      </c>
      <c r="AC42" s="73">
        <f t="shared" si="74"/>
        <v>52.984689013162921</v>
      </c>
      <c r="AD42" s="73">
        <f t="shared" ref="AD42:AO42" si="75">AD43*100/AD40</f>
        <v>53.16175621785306</v>
      </c>
      <c r="AE42" s="73">
        <f t="shared" si="75"/>
        <v>53.338222393593526</v>
      </c>
      <c r="AF42" s="73">
        <f t="shared" si="75"/>
        <v>53.514081728621726</v>
      </c>
      <c r="AG42" s="73">
        <f t="shared" si="75"/>
        <v>53.689328512160579</v>
      </c>
      <c r="AH42" s="73">
        <f t="shared" si="75"/>
        <v>53.863957134801879</v>
      </c>
      <c r="AI42" s="73">
        <f t="shared" si="75"/>
        <v>54.037962088857206</v>
      </c>
      <c r="AJ42" s="73">
        <f t="shared" si="75"/>
        <v>54.21133796867646</v>
      </c>
      <c r="AK42" s="73">
        <f t="shared" si="75"/>
        <v>54.384079470934068</v>
      </c>
      <c r="AL42" s="73">
        <f t="shared" si="75"/>
        <v>54.556181394883367</v>
      </c>
      <c r="AM42" s="73">
        <f t="shared" si="75"/>
        <v>54.72763864257913</v>
      </c>
      <c r="AN42" s="73">
        <f t="shared" si="75"/>
        <v>54.89844621906861</v>
      </c>
      <c r="AO42" s="73">
        <f t="shared" si="75"/>
        <v>55.068599232551307</v>
      </c>
      <c r="AT42" s="48"/>
    </row>
    <row r="43" spans="1:46" s="53" customFormat="1" ht="12" customHeight="1" x14ac:dyDescent="0.25">
      <c r="A43" s="48"/>
      <c r="B43" s="629"/>
      <c r="C43" s="632"/>
      <c r="D43" s="113"/>
      <c r="E43" s="110" t="s">
        <v>188</v>
      </c>
      <c r="F43" s="88"/>
      <c r="G43" s="73">
        <f t="shared" ref="G43:AO43" si="76">G23</f>
        <v>279.35166959999998</v>
      </c>
      <c r="H43" s="73">
        <f t="shared" si="76"/>
        <v>273.29755679999994</v>
      </c>
      <c r="I43" s="86">
        <f t="shared" si="76"/>
        <v>273.29755679999994</v>
      </c>
      <c r="J43" s="73">
        <f t="shared" si="76"/>
        <v>273.29755679999994</v>
      </c>
      <c r="K43" s="73">
        <f t="shared" si="76"/>
        <v>273.29755679999994</v>
      </c>
      <c r="L43" s="73">
        <f t="shared" si="76"/>
        <v>273.29755679999994</v>
      </c>
      <c r="M43" s="73">
        <f t="shared" si="76"/>
        <v>273.29755679999994</v>
      </c>
      <c r="N43" s="73">
        <f t="shared" si="76"/>
        <v>273.29755679999994</v>
      </c>
      <c r="O43" s="73">
        <f t="shared" si="76"/>
        <v>273.29755679999994</v>
      </c>
      <c r="P43" s="73">
        <f t="shared" si="76"/>
        <v>273.29755679999994</v>
      </c>
      <c r="Q43" s="73">
        <f t="shared" si="76"/>
        <v>273.29755679999994</v>
      </c>
      <c r="R43" s="73">
        <f t="shared" si="76"/>
        <v>273.29755679999994</v>
      </c>
      <c r="S43" s="73">
        <f t="shared" si="76"/>
        <v>273.29755679999994</v>
      </c>
      <c r="T43" s="73">
        <f t="shared" si="76"/>
        <v>273.29755679999994</v>
      </c>
      <c r="U43" s="73">
        <f t="shared" si="76"/>
        <v>273.29755679999994</v>
      </c>
      <c r="V43" s="73">
        <f t="shared" si="76"/>
        <v>273.29755679999994</v>
      </c>
      <c r="W43" s="73">
        <f t="shared" si="76"/>
        <v>273.29755679999994</v>
      </c>
      <c r="X43" s="73">
        <f t="shared" si="76"/>
        <v>273.29755679999994</v>
      </c>
      <c r="Y43" s="73">
        <f t="shared" si="76"/>
        <v>273.29755679999994</v>
      </c>
      <c r="Z43" s="73">
        <f t="shared" si="76"/>
        <v>273.29755679999994</v>
      </c>
      <c r="AA43" s="73">
        <f t="shared" si="76"/>
        <v>273.29755679999994</v>
      </c>
      <c r="AB43" s="73">
        <f t="shared" si="76"/>
        <v>273.29755679999994</v>
      </c>
      <c r="AC43" s="73">
        <f t="shared" si="76"/>
        <v>273.29755679999994</v>
      </c>
      <c r="AD43" s="73">
        <f t="shared" si="76"/>
        <v>273.29755679999994</v>
      </c>
      <c r="AE43" s="73">
        <f t="shared" si="76"/>
        <v>273.29755679999994</v>
      </c>
      <c r="AF43" s="73">
        <f t="shared" si="76"/>
        <v>273.29755679999994</v>
      </c>
      <c r="AG43" s="73">
        <f t="shared" si="76"/>
        <v>273.29755679999994</v>
      </c>
      <c r="AH43" s="73">
        <f t="shared" si="76"/>
        <v>273.29755679999994</v>
      </c>
      <c r="AI43" s="73">
        <f t="shared" si="76"/>
        <v>273.29755679999994</v>
      </c>
      <c r="AJ43" s="73">
        <f t="shared" si="76"/>
        <v>273.29755679999994</v>
      </c>
      <c r="AK43" s="73">
        <f t="shared" si="76"/>
        <v>273.29755679999994</v>
      </c>
      <c r="AL43" s="73">
        <f t="shared" si="76"/>
        <v>273.29755679999994</v>
      </c>
      <c r="AM43" s="73">
        <f t="shared" si="76"/>
        <v>273.29755679999994</v>
      </c>
      <c r="AN43" s="73">
        <f t="shared" si="76"/>
        <v>273.29755679999994</v>
      </c>
      <c r="AO43" s="73">
        <f t="shared" si="76"/>
        <v>273.29755679999994</v>
      </c>
      <c r="AT43" s="48"/>
    </row>
    <row r="44" spans="1:46" s="53" customFormat="1" ht="15.75" thickBot="1" x14ac:dyDescent="0.3">
      <c r="A44" s="48"/>
      <c r="B44" s="54"/>
      <c r="C44" s="114"/>
      <c r="D44" s="115"/>
      <c r="E44" s="54"/>
      <c r="F44" s="54"/>
      <c r="G44" s="104"/>
      <c r="H44" s="116"/>
      <c r="I44" s="117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T44" s="48"/>
    </row>
    <row r="45" spans="1:46" s="53" customFormat="1" ht="15.75" thickBot="1" x14ac:dyDescent="0.3">
      <c r="A45" s="48"/>
      <c r="B45" s="107"/>
      <c r="C45" s="106" t="s">
        <v>213</v>
      </c>
      <c r="D45" s="118"/>
      <c r="E45" s="118"/>
      <c r="F45" s="118"/>
      <c r="G45" s="118"/>
      <c r="H45" s="104"/>
      <c r="I45" s="105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T45" s="48"/>
    </row>
    <row r="46" spans="1:46" s="53" customFormat="1" ht="13.5" x14ac:dyDescent="0.25">
      <c r="A46" s="48"/>
      <c r="B46" s="107">
        <f>B42+1</f>
        <v>27</v>
      </c>
      <c r="C46" s="111" t="s">
        <v>191</v>
      </c>
      <c r="D46" s="109"/>
      <c r="E46" s="110" t="s">
        <v>192</v>
      </c>
      <c r="F46" s="88"/>
      <c r="G46" s="526">
        <v>126.1</v>
      </c>
      <c r="H46" s="526">
        <v>222.25</v>
      </c>
      <c r="I46" s="86">
        <f>I59</f>
        <v>215.50385528081881</v>
      </c>
      <c r="J46" s="86">
        <f t="shared" ref="J46:AO46" si="77">J59</f>
        <v>212.29333214423929</v>
      </c>
      <c r="K46" s="86">
        <f t="shared" si="77"/>
        <v>209.17400551977312</v>
      </c>
      <c r="L46" s="86">
        <f t="shared" si="77"/>
        <v>206.14313830023585</v>
      </c>
      <c r="M46" s="86">
        <f t="shared" si="77"/>
        <v>203.19807918649551</v>
      </c>
      <c r="N46" s="86">
        <f t="shared" si="77"/>
        <v>201.20809424621802</v>
      </c>
      <c r="O46" s="86">
        <f t="shared" si="77"/>
        <v>199.25469748236091</v>
      </c>
      <c r="P46" s="86">
        <f t="shared" si="77"/>
        <v>197.33721569163845</v>
      </c>
      <c r="Q46" s="86">
        <f t="shared" si="77"/>
        <v>195.45498806600904</v>
      </c>
      <c r="R46" s="86">
        <f t="shared" si="77"/>
        <v>193.60736596429606</v>
      </c>
      <c r="S46" s="86">
        <f t="shared" si="77"/>
        <v>192.22679195783383</v>
      </c>
      <c r="T46" s="86">
        <f t="shared" si="77"/>
        <v>190.8719829137672</v>
      </c>
      <c r="U46" s="86">
        <f t="shared" si="77"/>
        <v>189.54245799348544</v>
      </c>
      <c r="V46" s="86">
        <f t="shared" si="77"/>
        <v>188.23774533202851</v>
      </c>
      <c r="W46" s="86">
        <f t="shared" si="77"/>
        <v>186.95738187061596</v>
      </c>
      <c r="X46" s="86">
        <f t="shared" si="77"/>
        <v>185.70091319230204</v>
      </c>
      <c r="Y46" s="86">
        <f t="shared" si="77"/>
        <v>184.46789336069713</v>
      </c>
      <c r="Z46" s="86">
        <f t="shared" si="77"/>
        <v>183.25788476169961</v>
      </c>
      <c r="AA46" s="86">
        <f t="shared" si="77"/>
        <v>182.07045794818083</v>
      </c>
      <c r="AB46" s="86">
        <f t="shared" si="77"/>
        <v>180.90519148756937</v>
      </c>
      <c r="AC46" s="86">
        <f t="shared" si="77"/>
        <v>179.76167181227908</v>
      </c>
      <c r="AD46" s="86">
        <f t="shared" si="77"/>
        <v>179.16037041142164</v>
      </c>
      <c r="AE46" s="86">
        <f t="shared" si="77"/>
        <v>178.56508202457275</v>
      </c>
      <c r="AF46" s="86">
        <f t="shared" si="77"/>
        <v>177.97574652159241</v>
      </c>
      <c r="AG46" s="86">
        <f t="shared" si="77"/>
        <v>177.39230437364182</v>
      </c>
      <c r="AH46" s="86">
        <f t="shared" si="77"/>
        <v>176.81469664717071</v>
      </c>
      <c r="AI46" s="86">
        <f t="shared" si="77"/>
        <v>176.24286499796438</v>
      </c>
      <c r="AJ46" s="86">
        <f t="shared" si="77"/>
        <v>175.67675166525007</v>
      </c>
      <c r="AK46" s="86">
        <f t="shared" si="77"/>
        <v>175.11629946586294</v>
      </c>
      <c r="AL46" s="86">
        <f t="shared" si="77"/>
        <v>174.56145178846964</v>
      </c>
      <c r="AM46" s="86">
        <f t="shared" si="77"/>
        <v>174.0121525878503</v>
      </c>
      <c r="AN46" s="86">
        <f t="shared" si="77"/>
        <v>173.46834637923715</v>
      </c>
      <c r="AO46" s="86">
        <f t="shared" si="77"/>
        <v>172.92997823271008</v>
      </c>
      <c r="AT46" s="48"/>
    </row>
    <row r="47" spans="1:46" s="53" customFormat="1" ht="13.5" x14ac:dyDescent="0.25">
      <c r="A47" s="48"/>
      <c r="B47" s="107">
        <f>B46+1</f>
        <v>28</v>
      </c>
      <c r="C47" s="111" t="s">
        <v>576</v>
      </c>
      <c r="D47" s="109"/>
      <c r="E47" s="110" t="s">
        <v>192</v>
      </c>
      <c r="F47" s="88"/>
      <c r="G47" s="526">
        <v>11.58</v>
      </c>
      <c r="H47" s="526">
        <v>20.51</v>
      </c>
      <c r="I47" s="86">
        <v>29.344680843926405</v>
      </c>
      <c r="J47" s="86">
        <f t="shared" ref="J47:AO47" si="78">I47*J46/I46</f>
        <v>28.907511046373585</v>
      </c>
      <c r="K47" s="86">
        <f t="shared" si="78"/>
        <v>28.48275927511806</v>
      </c>
      <c r="L47" s="86">
        <f t="shared" si="78"/>
        <v>28.07005282435993</v>
      </c>
      <c r="M47" s="86">
        <f t="shared" si="78"/>
        <v>27.669030672591031</v>
      </c>
      <c r="N47" s="86">
        <f t="shared" si="78"/>
        <v>27.398058847606421</v>
      </c>
      <c r="O47" s="86">
        <f t="shared" si="78"/>
        <v>27.132069153258492</v>
      </c>
      <c r="P47" s="86">
        <f t="shared" si="78"/>
        <v>26.870969920952557</v>
      </c>
      <c r="Q47" s="86">
        <f t="shared" si="78"/>
        <v>26.614671169926769</v>
      </c>
      <c r="R47" s="86">
        <f t="shared" si="78"/>
        <v>26.363084576154233</v>
      </c>
      <c r="S47" s="86">
        <f t="shared" si="78"/>
        <v>26.175094883124082</v>
      </c>
      <c r="T47" s="86">
        <f t="shared" si="78"/>
        <v>25.990613547740104</v>
      </c>
      <c r="U47" s="86">
        <f t="shared" si="78"/>
        <v>25.809575095277729</v>
      </c>
      <c r="V47" s="86">
        <f t="shared" si="78"/>
        <v>25.631915272934442</v>
      </c>
      <c r="W47" s="86">
        <f t="shared" si="78"/>
        <v>25.457571027025629</v>
      </c>
      <c r="X47" s="86">
        <f t="shared" si="78"/>
        <v>25.286480480606095</v>
      </c>
      <c r="Y47" s="86">
        <f t="shared" si="78"/>
        <v>25.118582911509112</v>
      </c>
      <c r="Z47" s="86">
        <f t="shared" si="78"/>
        <v>24.953818730795405</v>
      </c>
      <c r="AA47" s="86">
        <f t="shared" si="78"/>
        <v>24.792129461604265</v>
      </c>
      <c r="AB47" s="86">
        <f t="shared" si="78"/>
        <v>24.633457718399409</v>
      </c>
      <c r="AC47" s="86">
        <f t="shared" si="78"/>
        <v>24.477747186602112</v>
      </c>
      <c r="AD47" s="86">
        <f t="shared" si="78"/>
        <v>24.395869311720595</v>
      </c>
      <c r="AE47" s="86">
        <f t="shared" si="78"/>
        <v>24.314810215587887</v>
      </c>
      <c r="AF47" s="86">
        <f t="shared" si="78"/>
        <v>24.234561710416518</v>
      </c>
      <c r="AG47" s="86">
        <f t="shared" si="78"/>
        <v>24.155115690296853</v>
      </c>
      <c r="AH47" s="86">
        <f t="shared" si="78"/>
        <v>24.07646413037838</v>
      </c>
      <c r="AI47" s="86">
        <f t="shared" si="78"/>
        <v>23.998599086059105</v>
      </c>
      <c r="AJ47" s="86">
        <f t="shared" si="78"/>
        <v>23.921512692183018</v>
      </c>
      <c r="AK47" s="86">
        <f t="shared" si="78"/>
        <v>23.845197162245693</v>
      </c>
      <c r="AL47" s="86">
        <f t="shared" si="78"/>
        <v>23.769644787607735</v>
      </c>
      <c r="AM47" s="86">
        <f t="shared" si="78"/>
        <v>23.694847936716162</v>
      </c>
      <c r="AN47" s="86">
        <f t="shared" si="78"/>
        <v>23.620799054333506</v>
      </c>
      <c r="AO47" s="86">
        <f t="shared" si="78"/>
        <v>23.54749066077467</v>
      </c>
      <c r="AT47" s="48"/>
    </row>
    <row r="48" spans="1:46" s="53" customFormat="1" ht="13.5" x14ac:dyDescent="0.25">
      <c r="A48" s="48"/>
      <c r="B48" s="107">
        <f t="shared" ref="B48:B51" si="79">B47+1</f>
        <v>29</v>
      </c>
      <c r="C48" s="119" t="s">
        <v>193</v>
      </c>
      <c r="D48" s="109"/>
      <c r="E48" s="110" t="s">
        <v>194</v>
      </c>
      <c r="F48" s="88"/>
      <c r="G48" s="526">
        <v>10.87</v>
      </c>
      <c r="H48" s="526">
        <v>20.48</v>
      </c>
      <c r="I48" s="86">
        <v>20.90441219941297</v>
      </c>
      <c r="J48" s="86">
        <f t="shared" ref="J48:AO48" si="80">I48*J47/I47</f>
        <v>20.592983436640463</v>
      </c>
      <c r="K48" s="86">
        <f t="shared" si="80"/>
        <v>20.290400963313136</v>
      </c>
      <c r="L48" s="86">
        <f t="shared" si="80"/>
        <v>19.996399273197962</v>
      </c>
      <c r="M48" s="86">
        <f t="shared" si="80"/>
        <v>19.710721183657327</v>
      </c>
      <c r="N48" s="86">
        <f t="shared" si="80"/>
        <v>19.517687674312555</v>
      </c>
      <c r="O48" s="86">
        <f t="shared" si="80"/>
        <v>19.328203309462292</v>
      </c>
      <c r="P48" s="86">
        <f t="shared" si="80"/>
        <v>19.142202786706456</v>
      </c>
      <c r="Q48" s="86">
        <f t="shared" si="80"/>
        <v>18.959622006014587</v>
      </c>
      <c r="R48" s="86">
        <f t="shared" si="80"/>
        <v>18.780398047572529</v>
      </c>
      <c r="S48" s="86">
        <f t="shared" si="80"/>
        <v>18.646478920857721</v>
      </c>
      <c r="T48" s="86">
        <f t="shared" si="80"/>
        <v>18.515059059845225</v>
      </c>
      <c r="U48" s="86">
        <f t="shared" si="80"/>
        <v>18.386091821988877</v>
      </c>
      <c r="V48" s="86">
        <f t="shared" si="80"/>
        <v>18.259531435209027</v>
      </c>
      <c r="W48" s="86">
        <f t="shared" si="80"/>
        <v>18.135332981647451</v>
      </c>
      <c r="X48" s="86">
        <f t="shared" si="80"/>
        <v>18.013452381725472</v>
      </c>
      <c r="Y48" s="86">
        <f t="shared" si="80"/>
        <v>17.893846378499536</v>
      </c>
      <c r="Z48" s="86">
        <f t="shared" si="80"/>
        <v>17.776472522308808</v>
      </c>
      <c r="AA48" s="86">
        <f t="shared" si="80"/>
        <v>17.661289155709234</v>
      </c>
      <c r="AB48" s="86">
        <f t="shared" si="80"/>
        <v>17.548255398688827</v>
      </c>
      <c r="AC48" s="86">
        <f t="shared" si="80"/>
        <v>17.437331134158814</v>
      </c>
      <c r="AD48" s="86">
        <f t="shared" si="80"/>
        <v>17.379003396479927</v>
      </c>
      <c r="AE48" s="86">
        <f t="shared" si="80"/>
        <v>17.321258936177827</v>
      </c>
      <c r="AF48" s="86">
        <f t="shared" si="80"/>
        <v>17.264091920478755</v>
      </c>
      <c r="AG48" s="86">
        <f t="shared" si="80"/>
        <v>17.207496574936666</v>
      </c>
      <c r="AH48" s="86">
        <f t="shared" si="80"/>
        <v>17.151467182849995</v>
      </c>
      <c r="AI48" s="86">
        <f t="shared" si="80"/>
        <v>17.095998084684201</v>
      </c>
      <c r="AJ48" s="86">
        <f t="shared" si="80"/>
        <v>17.041083677500058</v>
      </c>
      <c r="AK48" s="86">
        <f t="shared" si="80"/>
        <v>16.986718414387759</v>
      </c>
      <c r="AL48" s="86">
        <f t="shared" si="80"/>
        <v>16.93289680390658</v>
      </c>
      <c r="AM48" s="86">
        <f t="shared" si="80"/>
        <v>16.879613409530215</v>
      </c>
      <c r="AN48" s="86">
        <f t="shared" si="80"/>
        <v>16.826862849097616</v>
      </c>
      <c r="AO48" s="86">
        <f t="shared" si="80"/>
        <v>16.774639794269337</v>
      </c>
      <c r="AT48" s="48"/>
    </row>
    <row r="49" spans="1:46" s="53" customFormat="1" ht="13.5" x14ac:dyDescent="0.25">
      <c r="A49" s="48"/>
      <c r="B49" s="107">
        <f t="shared" si="79"/>
        <v>30</v>
      </c>
      <c r="C49" s="119" t="s">
        <v>195</v>
      </c>
      <c r="D49" s="109"/>
      <c r="E49" s="110" t="s">
        <v>192</v>
      </c>
      <c r="F49" s="88"/>
      <c r="G49" s="60">
        <f>G47-G48</f>
        <v>0.71000000000000085</v>
      </c>
      <c r="H49" s="60">
        <f>H47-H48</f>
        <v>3.0000000000001137E-2</v>
      </c>
      <c r="I49" s="60">
        <f t="shared" ref="I49:AO49" si="81">I47-I48</f>
        <v>8.4402686445134343</v>
      </c>
      <c r="J49" s="60">
        <f t="shared" si="81"/>
        <v>8.3145276097331227</v>
      </c>
      <c r="K49" s="60">
        <f t="shared" si="81"/>
        <v>8.1923583118049237</v>
      </c>
      <c r="L49" s="60">
        <f t="shared" si="81"/>
        <v>8.0736535511619678</v>
      </c>
      <c r="M49" s="60">
        <f t="shared" si="81"/>
        <v>7.958309488933704</v>
      </c>
      <c r="N49" s="60">
        <f t="shared" si="81"/>
        <v>7.8803711732938666</v>
      </c>
      <c r="O49" s="60">
        <f t="shared" si="81"/>
        <v>7.8038658437961992</v>
      </c>
      <c r="P49" s="60">
        <f t="shared" si="81"/>
        <v>7.7287671342461017</v>
      </c>
      <c r="Q49" s="60">
        <f t="shared" si="81"/>
        <v>7.6550491639121816</v>
      </c>
      <c r="R49" s="60">
        <f t="shared" si="81"/>
        <v>7.5826865285817036</v>
      </c>
      <c r="S49" s="60">
        <f t="shared" si="81"/>
        <v>7.5286159622663611</v>
      </c>
      <c r="T49" s="60">
        <f t="shared" si="81"/>
        <v>7.475554487894879</v>
      </c>
      <c r="U49" s="60">
        <f t="shared" si="81"/>
        <v>7.423483273288852</v>
      </c>
      <c r="V49" s="60">
        <f t="shared" si="81"/>
        <v>7.3723838377254154</v>
      </c>
      <c r="W49" s="60">
        <f t="shared" si="81"/>
        <v>7.3222380453781781</v>
      </c>
      <c r="X49" s="60">
        <f t="shared" si="81"/>
        <v>7.2730280988806228</v>
      </c>
      <c r="Y49" s="60">
        <f t="shared" si="81"/>
        <v>7.2247365330095761</v>
      </c>
      <c r="Z49" s="60">
        <f t="shared" si="81"/>
        <v>7.1773462084865969</v>
      </c>
      <c r="AA49" s="60">
        <f t="shared" si="81"/>
        <v>7.1308403058950312</v>
      </c>
      <c r="AB49" s="60">
        <f t="shared" si="81"/>
        <v>7.0852023197105822</v>
      </c>
      <c r="AC49" s="60">
        <f t="shared" si="81"/>
        <v>7.0404160524432982</v>
      </c>
      <c r="AD49" s="60">
        <f t="shared" si="81"/>
        <v>7.0168659152406683</v>
      </c>
      <c r="AE49" s="60">
        <f t="shared" si="81"/>
        <v>6.9935512794100596</v>
      </c>
      <c r="AF49" s="60">
        <f t="shared" si="81"/>
        <v>6.9704697899377628</v>
      </c>
      <c r="AG49" s="60">
        <f t="shared" si="81"/>
        <v>6.9476191153601867</v>
      </c>
      <c r="AH49" s="60">
        <f t="shared" si="81"/>
        <v>6.9249969475283848</v>
      </c>
      <c r="AI49" s="60">
        <f t="shared" si="81"/>
        <v>6.9026010013749044</v>
      </c>
      <c r="AJ49" s="60">
        <f t="shared" si="81"/>
        <v>6.8804290146829601</v>
      </c>
      <c r="AK49" s="60">
        <f t="shared" si="81"/>
        <v>6.8584787478579337</v>
      </c>
      <c r="AL49" s="60">
        <f t="shared" si="81"/>
        <v>6.8367479837011551</v>
      </c>
      <c r="AM49" s="60">
        <f t="shared" si="81"/>
        <v>6.8152345271859467</v>
      </c>
      <c r="AN49" s="60">
        <f t="shared" si="81"/>
        <v>6.7939362052358909</v>
      </c>
      <c r="AO49" s="60">
        <f t="shared" si="81"/>
        <v>6.7728508665053333</v>
      </c>
      <c r="AT49" s="48"/>
    </row>
    <row r="50" spans="1:46" s="53" customFormat="1" ht="13.5" x14ac:dyDescent="0.25">
      <c r="A50" s="48"/>
      <c r="B50" s="107">
        <f t="shared" si="79"/>
        <v>31</v>
      </c>
      <c r="C50" s="120" t="s">
        <v>575</v>
      </c>
      <c r="D50" s="90"/>
      <c r="E50" s="110" t="s">
        <v>192</v>
      </c>
      <c r="F50" s="88"/>
      <c r="G50" s="73">
        <f>G46-G48</f>
        <v>115.22999999999999</v>
      </c>
      <c r="H50" s="73">
        <f t="shared" ref="H50:AO50" si="82">H46-H48</f>
        <v>201.77</v>
      </c>
      <c r="I50" s="73">
        <f t="shared" si="82"/>
        <v>194.59944308140584</v>
      </c>
      <c r="J50" s="73">
        <f t="shared" si="82"/>
        <v>191.70034870759883</v>
      </c>
      <c r="K50" s="73">
        <f t="shared" si="82"/>
        <v>188.88360455645997</v>
      </c>
      <c r="L50" s="73">
        <f t="shared" si="82"/>
        <v>186.14673902703788</v>
      </c>
      <c r="M50" s="73">
        <f t="shared" si="82"/>
        <v>183.48735800283816</v>
      </c>
      <c r="N50" s="73">
        <f t="shared" si="82"/>
        <v>181.69040657190547</v>
      </c>
      <c r="O50" s="73">
        <f t="shared" si="82"/>
        <v>179.92649417289863</v>
      </c>
      <c r="P50" s="73">
        <f t="shared" si="82"/>
        <v>178.19501290493199</v>
      </c>
      <c r="Q50" s="73">
        <f t="shared" si="82"/>
        <v>176.49536605999444</v>
      </c>
      <c r="R50" s="73">
        <f t="shared" si="82"/>
        <v>174.82696791672353</v>
      </c>
      <c r="S50" s="73">
        <f t="shared" si="82"/>
        <v>173.58031303697609</v>
      </c>
      <c r="T50" s="73">
        <f t="shared" si="82"/>
        <v>172.35692385392198</v>
      </c>
      <c r="U50" s="73">
        <f t="shared" si="82"/>
        <v>171.15636617149656</v>
      </c>
      <c r="V50" s="73">
        <f t="shared" si="82"/>
        <v>169.97821389681948</v>
      </c>
      <c r="W50" s="73">
        <f t="shared" si="82"/>
        <v>168.82204888896851</v>
      </c>
      <c r="X50" s="73">
        <f t="shared" si="82"/>
        <v>167.68746081057657</v>
      </c>
      <c r="Y50" s="73">
        <f t="shared" si="82"/>
        <v>166.57404698219759</v>
      </c>
      <c r="Z50" s="73">
        <f t="shared" si="82"/>
        <v>165.48141223939081</v>
      </c>
      <c r="AA50" s="73">
        <f t="shared" si="82"/>
        <v>164.4091687924716</v>
      </c>
      <c r="AB50" s="73">
        <f t="shared" si="82"/>
        <v>163.35693608888053</v>
      </c>
      <c r="AC50" s="73">
        <f t="shared" si="82"/>
        <v>162.32434067812025</v>
      </c>
      <c r="AD50" s="73">
        <f t="shared" si="82"/>
        <v>161.78136701494171</v>
      </c>
      <c r="AE50" s="73">
        <f t="shared" si="82"/>
        <v>161.24382308839492</v>
      </c>
      <c r="AF50" s="73">
        <f t="shared" si="82"/>
        <v>160.71165460111365</v>
      </c>
      <c r="AG50" s="73">
        <f t="shared" si="82"/>
        <v>160.18480779870515</v>
      </c>
      <c r="AH50" s="73">
        <f t="shared" si="82"/>
        <v>159.66322946432072</v>
      </c>
      <c r="AI50" s="73">
        <f t="shared" si="82"/>
        <v>159.14686691328018</v>
      </c>
      <c r="AJ50" s="73">
        <f t="shared" si="82"/>
        <v>158.63566798775</v>
      </c>
      <c r="AK50" s="73">
        <f t="shared" si="82"/>
        <v>158.12958105147518</v>
      </c>
      <c r="AL50" s="73">
        <f t="shared" si="82"/>
        <v>157.62855498456307</v>
      </c>
      <c r="AM50" s="73">
        <f t="shared" si="82"/>
        <v>157.13253917832009</v>
      </c>
      <c r="AN50" s="73">
        <f t="shared" si="82"/>
        <v>156.64148353013954</v>
      </c>
      <c r="AO50" s="73">
        <f t="shared" si="82"/>
        <v>156.15533843844074</v>
      </c>
      <c r="AT50" s="48"/>
    </row>
    <row r="51" spans="1:46" s="53" customFormat="1" ht="40.5" x14ac:dyDescent="0.25">
      <c r="A51" s="48"/>
      <c r="B51" s="107">
        <f t="shared" si="79"/>
        <v>32</v>
      </c>
      <c r="C51" s="136" t="s">
        <v>577</v>
      </c>
      <c r="D51" s="90"/>
      <c r="E51" s="110" t="s">
        <v>192</v>
      </c>
      <c r="F51" s="88"/>
      <c r="G51" s="526">
        <v>8.7768499999999996</v>
      </c>
      <c r="H51" s="73">
        <f>H25*'1.Input'!$K$86/10^6+1.796</f>
        <v>8.5921647093219686</v>
      </c>
      <c r="I51" s="73">
        <f>I25*'1.Input'!$K$86/10^6+1.796</f>
        <v>8.4898858193197029</v>
      </c>
      <c r="J51" s="73">
        <f>J25*'1.Input'!$K$86/10^6+1.796</f>
        <v>8.3905170108770815</v>
      </c>
      <c r="K51" s="73">
        <f>K25*'1.Input'!$K$86/10^6+1.796</f>
        <v>8.2939708230346874</v>
      </c>
      <c r="L51" s="73">
        <f>L25*'1.Input'!$K$86/10^6+1.796</f>
        <v>8.2001625396674793</v>
      </c>
      <c r="M51" s="73">
        <f>M25*'1.Input'!$K$86/10^6+1.796</f>
        <v>8.1090101004929558</v>
      </c>
      <c r="N51" s="73">
        <f>N25*'1.Input'!$K$86/10^6+1.796</f>
        <v>8.0474181343485185</v>
      </c>
      <c r="O51" s="73">
        <f>O25*'1.Input'!$K$86/10^6+1.796</f>
        <v>7.9869586077908119</v>
      </c>
      <c r="P51" s="73">
        <f>P25*'1.Input'!$K$86/10^6+1.796</f>
        <v>7.9276106845244758</v>
      </c>
      <c r="Q51" s="73">
        <f>Q25*'1.Input'!$K$86/10^6+1.796</f>
        <v>7.8693539118989877</v>
      </c>
      <c r="R51" s="73">
        <f>R25*'1.Input'!$K$86/10^6+1.796</f>
        <v>7.8121682138401098</v>
      </c>
      <c r="S51" s="73">
        <f>S25*'1.Input'!$K$86/10^6+1.796</f>
        <v>7.7694381078253096</v>
      </c>
      <c r="T51" s="73">
        <f>T25*'1.Input'!$K$86/10^6+1.796</f>
        <v>7.7275054524140101</v>
      </c>
      <c r="U51" s="73">
        <f>U25*'1.Input'!$K$86/10^6+1.796</f>
        <v>7.6863553651843244</v>
      </c>
      <c r="V51" s="73">
        <f>V25*'1.Input'!$K$86/10^6+1.796</f>
        <v>7.6459732414575647</v>
      </c>
      <c r="W51" s="73">
        <f>W25*'1.Input'!$K$86/10^6+1.796</f>
        <v>7.6063447491148537</v>
      </c>
      <c r="X51" s="73">
        <f>X25*'1.Input'!$K$86/10^6+1.796</f>
        <v>7.5674558235104881</v>
      </c>
      <c r="Y51" s="73">
        <f>Y25*'1.Input'!$K$86/10^6+1.796</f>
        <v>7.5292926624802146</v>
      </c>
      <c r="Z51" s="73">
        <f>Z25*'1.Input'!$K$86/10^6+1.796</f>
        <v>7.4918417214426709</v>
      </c>
      <c r="AA51" s="73">
        <f>AA25*'1.Input'!$K$86/10^6+1.796</f>
        <v>7.4550897085922365</v>
      </c>
      <c r="AB51" s="73">
        <f>AB25*'1.Input'!$K$86/10^6+1.796</f>
        <v>7.4190235801816256</v>
      </c>
      <c r="AC51" s="73">
        <f>AC25*'1.Input'!$K$86/10^6+1.796</f>
        <v>7.3836305358924772</v>
      </c>
      <c r="AD51" s="73">
        <f>AD25*'1.Input'!$K$86/10^6+1.796</f>
        <v>7.3650196736821076</v>
      </c>
      <c r="AE51" s="73">
        <f>AE25*'1.Input'!$K$86/10^6+1.796</f>
        <v>7.3465949200938425</v>
      </c>
      <c r="AF51" s="73">
        <f>AF25*'1.Input'!$K$86/10^6+1.796</f>
        <v>7.3283544140414598</v>
      </c>
      <c r="AG51" s="73">
        <f>AG25*'1.Input'!$K$86/10^6+1.796</f>
        <v>7.3102963130495997</v>
      </c>
      <c r="AH51" s="73">
        <f>AH25*'1.Input'!$K$86/10^6+1.796</f>
        <v>7.2924187930676583</v>
      </c>
      <c r="AI51" s="73">
        <f>AI25*'1.Input'!$K$86/10^6+1.796</f>
        <v>7.2747200482855376</v>
      </c>
      <c r="AJ51" s="73">
        <f>AJ25*'1.Input'!$K$86/10^6+1.796</f>
        <v>7.2571982909512371</v>
      </c>
      <c r="AK51" s="73">
        <f>AK25*'1.Input'!$K$86/10^6+1.796</f>
        <v>7.2398517511902805</v>
      </c>
      <c r="AL51" s="73">
        <f>AL25*'1.Input'!$K$86/10^6+1.796</f>
        <v>7.2226786768269324</v>
      </c>
      <c r="AM51" s="73">
        <f>AM25*'1.Input'!$K$86/10^6+1.796</f>
        <v>7.2056773332072179</v>
      </c>
      <c r="AN51" s="73">
        <f>AN25*'1.Input'!$K$86/10^6+1.796</f>
        <v>7.188846003023702</v>
      </c>
      <c r="AO51" s="73">
        <f>AO25*'1.Input'!$K$86/10^6+1.796</f>
        <v>7.172182986142019</v>
      </c>
      <c r="AT51" s="48"/>
    </row>
    <row r="52" spans="1:46" s="53" customFormat="1" ht="15" x14ac:dyDescent="0.25">
      <c r="A52" s="48"/>
      <c r="B52" s="629">
        <f>B51+1</f>
        <v>33</v>
      </c>
      <c r="C52" s="633" t="s">
        <v>212</v>
      </c>
      <c r="D52" s="121"/>
      <c r="E52" s="110" t="s">
        <v>196</v>
      </c>
      <c r="F52" s="88"/>
      <c r="G52" s="73" t="e">
        <f>#REF!+#REF!</f>
        <v>#REF!</v>
      </c>
      <c r="H52" s="73" t="e">
        <f>#REF!+#REF!</f>
        <v>#REF!</v>
      </c>
      <c r="I52" s="73">
        <f>I62+I72</f>
        <v>614.44444444444446</v>
      </c>
      <c r="J52" s="73">
        <f t="shared" ref="J52:AO52" si="83">J62+J72</f>
        <v>614.44444444444446</v>
      </c>
      <c r="K52" s="73">
        <f t="shared" si="83"/>
        <v>614.44444444444446</v>
      </c>
      <c r="L52" s="73">
        <f t="shared" si="83"/>
        <v>614.44444444444446</v>
      </c>
      <c r="M52" s="73">
        <f t="shared" si="83"/>
        <v>614.44444444444446</v>
      </c>
      <c r="N52" s="73">
        <f t="shared" si="83"/>
        <v>614.44444444444446</v>
      </c>
      <c r="O52" s="73">
        <f t="shared" si="83"/>
        <v>614.44444444444446</v>
      </c>
      <c r="P52" s="73">
        <f t="shared" si="83"/>
        <v>614.44444444444446</v>
      </c>
      <c r="Q52" s="73">
        <f t="shared" si="83"/>
        <v>614.44444444444446</v>
      </c>
      <c r="R52" s="73">
        <f t="shared" si="83"/>
        <v>614.44444444444446</v>
      </c>
      <c r="S52" s="73">
        <f t="shared" si="83"/>
        <v>614.44444444444446</v>
      </c>
      <c r="T52" s="73">
        <f t="shared" si="83"/>
        <v>614.44444444444446</v>
      </c>
      <c r="U52" s="73">
        <f t="shared" si="83"/>
        <v>614.44444444444446</v>
      </c>
      <c r="V52" s="73">
        <f t="shared" si="83"/>
        <v>614.44444444444446</v>
      </c>
      <c r="W52" s="73">
        <f t="shared" si="83"/>
        <v>614.44444444444446</v>
      </c>
      <c r="X52" s="73">
        <f t="shared" si="83"/>
        <v>614.44444444444446</v>
      </c>
      <c r="Y52" s="73">
        <f t="shared" si="83"/>
        <v>614.44444444444446</v>
      </c>
      <c r="Z52" s="73">
        <f t="shared" si="83"/>
        <v>614.44444444444446</v>
      </c>
      <c r="AA52" s="73">
        <f t="shared" si="83"/>
        <v>614.44444444444446</v>
      </c>
      <c r="AB52" s="73">
        <f t="shared" si="83"/>
        <v>614.44444444444446</v>
      </c>
      <c r="AC52" s="73">
        <f t="shared" si="83"/>
        <v>614.44444444444446</v>
      </c>
      <c r="AD52" s="73">
        <f t="shared" si="83"/>
        <v>614.44444444444446</v>
      </c>
      <c r="AE52" s="73">
        <f t="shared" si="83"/>
        <v>614.44444444444446</v>
      </c>
      <c r="AF52" s="73">
        <f t="shared" si="83"/>
        <v>614.44444444444446</v>
      </c>
      <c r="AG52" s="73">
        <f t="shared" si="83"/>
        <v>614.44444444444446</v>
      </c>
      <c r="AH52" s="73">
        <f t="shared" si="83"/>
        <v>614.44444444444446</v>
      </c>
      <c r="AI52" s="73">
        <f t="shared" si="83"/>
        <v>614.44444444444446</v>
      </c>
      <c r="AJ52" s="73">
        <f t="shared" si="83"/>
        <v>614.44444444444446</v>
      </c>
      <c r="AK52" s="73">
        <f t="shared" si="83"/>
        <v>614.44444444444446</v>
      </c>
      <c r="AL52" s="73">
        <f t="shared" si="83"/>
        <v>614.44444444444446</v>
      </c>
      <c r="AM52" s="73">
        <f t="shared" si="83"/>
        <v>614.44444444444446</v>
      </c>
      <c r="AN52" s="73">
        <f t="shared" si="83"/>
        <v>614.44444444444446</v>
      </c>
      <c r="AO52" s="73">
        <f t="shared" si="83"/>
        <v>614.44444444444446</v>
      </c>
      <c r="AT52" s="48"/>
    </row>
    <row r="53" spans="1:46" s="53" customFormat="1" ht="13.5" x14ac:dyDescent="0.25">
      <c r="A53" s="48"/>
      <c r="B53" s="629"/>
      <c r="C53" s="634"/>
      <c r="D53" s="88"/>
      <c r="E53" s="110" t="s">
        <v>211</v>
      </c>
      <c r="F53" s="88"/>
      <c r="G53" s="73" t="e">
        <f>#REF!+#REF!</f>
        <v>#REF!</v>
      </c>
      <c r="H53" s="73" t="e">
        <f>#REF!+#REF!</f>
        <v>#REF!</v>
      </c>
      <c r="I53" s="73">
        <f>I63+I73</f>
        <v>17810.380371494775</v>
      </c>
      <c r="J53" s="73">
        <f t="shared" ref="J53:AO53" si="84">J63+J73</f>
        <v>17810.380371494775</v>
      </c>
      <c r="K53" s="73">
        <f t="shared" si="84"/>
        <v>17810.380371494775</v>
      </c>
      <c r="L53" s="73">
        <f t="shared" si="84"/>
        <v>17810.380371494775</v>
      </c>
      <c r="M53" s="73">
        <f t="shared" si="84"/>
        <v>17810.380371494775</v>
      </c>
      <c r="N53" s="73">
        <f t="shared" si="84"/>
        <v>17810.380371494775</v>
      </c>
      <c r="O53" s="73">
        <f t="shared" si="84"/>
        <v>17810.380371494775</v>
      </c>
      <c r="P53" s="73">
        <f t="shared" si="84"/>
        <v>17810.380371494775</v>
      </c>
      <c r="Q53" s="73">
        <f t="shared" si="84"/>
        <v>17810.380371494775</v>
      </c>
      <c r="R53" s="73">
        <f t="shared" si="84"/>
        <v>17810.380371494775</v>
      </c>
      <c r="S53" s="73">
        <f t="shared" si="84"/>
        <v>17810.380371494775</v>
      </c>
      <c r="T53" s="73">
        <f t="shared" si="84"/>
        <v>17810.380371494775</v>
      </c>
      <c r="U53" s="73">
        <f t="shared" si="84"/>
        <v>17810.380371494775</v>
      </c>
      <c r="V53" s="73">
        <f t="shared" si="84"/>
        <v>17810.380371494775</v>
      </c>
      <c r="W53" s="73">
        <f t="shared" si="84"/>
        <v>17810.380371494775</v>
      </c>
      <c r="X53" s="73">
        <f t="shared" si="84"/>
        <v>17810.380371494775</v>
      </c>
      <c r="Y53" s="73">
        <f t="shared" si="84"/>
        <v>17810.380371494775</v>
      </c>
      <c r="Z53" s="73">
        <f t="shared" si="84"/>
        <v>17810.380371494775</v>
      </c>
      <c r="AA53" s="73">
        <f t="shared" si="84"/>
        <v>17810.380371494775</v>
      </c>
      <c r="AB53" s="73">
        <f t="shared" si="84"/>
        <v>17810.380371494775</v>
      </c>
      <c r="AC53" s="73">
        <f t="shared" si="84"/>
        <v>17810.380371494775</v>
      </c>
      <c r="AD53" s="73">
        <f t="shared" si="84"/>
        <v>17810.380371494775</v>
      </c>
      <c r="AE53" s="73">
        <f t="shared" si="84"/>
        <v>17810.380371494775</v>
      </c>
      <c r="AF53" s="73">
        <f t="shared" si="84"/>
        <v>17810.380371494775</v>
      </c>
      <c r="AG53" s="73">
        <f t="shared" si="84"/>
        <v>17810.380371494775</v>
      </c>
      <c r="AH53" s="73">
        <f t="shared" si="84"/>
        <v>17810.380371494775</v>
      </c>
      <c r="AI53" s="73">
        <f t="shared" si="84"/>
        <v>17810.380371494775</v>
      </c>
      <c r="AJ53" s="73">
        <f t="shared" si="84"/>
        <v>17810.380371494775</v>
      </c>
      <c r="AK53" s="73">
        <f t="shared" si="84"/>
        <v>17810.380371494775</v>
      </c>
      <c r="AL53" s="73">
        <f t="shared" si="84"/>
        <v>17810.380371494775</v>
      </c>
      <c r="AM53" s="73">
        <f t="shared" si="84"/>
        <v>17810.380371494775</v>
      </c>
      <c r="AN53" s="73">
        <f t="shared" si="84"/>
        <v>17810.380371494775</v>
      </c>
      <c r="AO53" s="73">
        <f t="shared" si="84"/>
        <v>17810.380371494775</v>
      </c>
      <c r="AT53" s="48"/>
    </row>
    <row r="54" spans="1:46" s="53" customFormat="1" ht="13.5" x14ac:dyDescent="0.25">
      <c r="A54" s="48"/>
      <c r="B54" s="629"/>
      <c r="C54" s="635"/>
      <c r="D54" s="88"/>
      <c r="E54" s="110" t="s">
        <v>589</v>
      </c>
      <c r="F54" s="88"/>
      <c r="G54" s="73"/>
      <c r="H54" s="73"/>
      <c r="I54" s="73">
        <f>I53*8.24/0.9/1.162</f>
        <v>140330.40185610726</v>
      </c>
      <c r="J54" s="73">
        <f t="shared" ref="J54:AO54" si="85">J53*8.24/0.9/1.162</f>
        <v>140330.40185610726</v>
      </c>
      <c r="K54" s="73">
        <f t="shared" si="85"/>
        <v>140330.40185610726</v>
      </c>
      <c r="L54" s="73">
        <f t="shared" si="85"/>
        <v>140330.40185610726</v>
      </c>
      <c r="M54" s="73">
        <f t="shared" si="85"/>
        <v>140330.40185610726</v>
      </c>
      <c r="N54" s="73">
        <f t="shared" si="85"/>
        <v>140330.40185610726</v>
      </c>
      <c r="O54" s="73">
        <f t="shared" si="85"/>
        <v>140330.40185610726</v>
      </c>
      <c r="P54" s="73">
        <f t="shared" si="85"/>
        <v>140330.40185610726</v>
      </c>
      <c r="Q54" s="73">
        <f t="shared" si="85"/>
        <v>140330.40185610726</v>
      </c>
      <c r="R54" s="73">
        <f t="shared" si="85"/>
        <v>140330.40185610726</v>
      </c>
      <c r="S54" s="73">
        <f t="shared" si="85"/>
        <v>140330.40185610726</v>
      </c>
      <c r="T54" s="73">
        <f t="shared" si="85"/>
        <v>140330.40185610726</v>
      </c>
      <c r="U54" s="73">
        <f t="shared" si="85"/>
        <v>140330.40185610726</v>
      </c>
      <c r="V54" s="73">
        <f t="shared" si="85"/>
        <v>140330.40185610726</v>
      </c>
      <c r="W54" s="73">
        <f t="shared" si="85"/>
        <v>140330.40185610726</v>
      </c>
      <c r="X54" s="73">
        <f t="shared" si="85"/>
        <v>140330.40185610726</v>
      </c>
      <c r="Y54" s="73">
        <f t="shared" si="85"/>
        <v>140330.40185610726</v>
      </c>
      <c r="Z54" s="73">
        <f t="shared" si="85"/>
        <v>140330.40185610726</v>
      </c>
      <c r="AA54" s="73">
        <f t="shared" si="85"/>
        <v>140330.40185610726</v>
      </c>
      <c r="AB54" s="73">
        <f t="shared" si="85"/>
        <v>140330.40185610726</v>
      </c>
      <c r="AC54" s="73">
        <f t="shared" si="85"/>
        <v>140330.40185610726</v>
      </c>
      <c r="AD54" s="73">
        <f t="shared" si="85"/>
        <v>140330.40185610726</v>
      </c>
      <c r="AE54" s="73">
        <f t="shared" si="85"/>
        <v>140330.40185610726</v>
      </c>
      <c r="AF54" s="73">
        <f t="shared" si="85"/>
        <v>140330.40185610726</v>
      </c>
      <c r="AG54" s="73">
        <f t="shared" si="85"/>
        <v>140330.40185610726</v>
      </c>
      <c r="AH54" s="73">
        <f t="shared" si="85"/>
        <v>140330.40185610726</v>
      </c>
      <c r="AI54" s="73">
        <f t="shared" si="85"/>
        <v>140330.40185610726</v>
      </c>
      <c r="AJ54" s="73">
        <f t="shared" si="85"/>
        <v>140330.40185610726</v>
      </c>
      <c r="AK54" s="73">
        <f t="shared" si="85"/>
        <v>140330.40185610726</v>
      </c>
      <c r="AL54" s="73">
        <f t="shared" si="85"/>
        <v>140330.40185610726</v>
      </c>
      <c r="AM54" s="73">
        <f t="shared" si="85"/>
        <v>140330.40185610726</v>
      </c>
      <c r="AN54" s="73">
        <f t="shared" si="85"/>
        <v>140330.40185610726</v>
      </c>
      <c r="AO54" s="73">
        <f t="shared" si="85"/>
        <v>140330.40185610726</v>
      </c>
      <c r="AT54" s="48"/>
    </row>
    <row r="55" spans="1:46" s="53" customFormat="1" ht="15" x14ac:dyDescent="0.25">
      <c r="A55" s="48"/>
      <c r="B55" s="629">
        <f>B52+1</f>
        <v>34</v>
      </c>
      <c r="C55" s="633" t="s">
        <v>568</v>
      </c>
      <c r="D55" s="121"/>
      <c r="E55" s="110" t="s">
        <v>196</v>
      </c>
      <c r="F55" s="88"/>
      <c r="G55" s="73" t="e">
        <f>#REF!</f>
        <v>#REF!</v>
      </c>
      <c r="H55" s="73" t="e">
        <f>#REF!</f>
        <v>#REF!</v>
      </c>
      <c r="I55" s="73">
        <f>I64</f>
        <v>2804.6207698872813</v>
      </c>
      <c r="J55" s="73">
        <f t="shared" ref="J55:AO55" si="86">J64</f>
        <v>2753.7207986716958</v>
      </c>
      <c r="K55" s="73">
        <f t="shared" si="86"/>
        <v>2704.2666665434062</v>
      </c>
      <c r="L55" s="73">
        <f t="shared" si="86"/>
        <v>2656.2149791174543</v>
      </c>
      <c r="M55" s="73">
        <f t="shared" si="86"/>
        <v>2609.5237024187645</v>
      </c>
      <c r="N55" s="73">
        <f t="shared" si="86"/>
        <v>2577.9742720391764</v>
      </c>
      <c r="O55" s="73">
        <f t="shared" si="86"/>
        <v>2547.0049144537729</v>
      </c>
      <c r="P55" s="73">
        <f t="shared" si="86"/>
        <v>2516.6049566269107</v>
      </c>
      <c r="Q55" s="73">
        <f t="shared" si="86"/>
        <v>2486.7639220384522</v>
      </c>
      <c r="R55" s="73">
        <f t="shared" si="86"/>
        <v>2457.471527063014</v>
      </c>
      <c r="S55" s="73">
        <f t="shared" si="86"/>
        <v>2435.5837616738572</v>
      </c>
      <c r="T55" s="73">
        <f t="shared" si="86"/>
        <v>2414.1044767062758</v>
      </c>
      <c r="U55" s="73">
        <f t="shared" si="86"/>
        <v>2393.0260488944009</v>
      </c>
      <c r="V55" s="73">
        <f t="shared" si="86"/>
        <v>2372.3409972415675</v>
      </c>
      <c r="W55" s="73">
        <f t="shared" si="86"/>
        <v>2352.0419803652035</v>
      </c>
      <c r="X55" s="73">
        <f t="shared" si="86"/>
        <v>2332.1217938912946</v>
      </c>
      <c r="Y55" s="73">
        <f t="shared" si="86"/>
        <v>2312.5733678974543</v>
      </c>
      <c r="Z55" s="73">
        <f t="shared" si="86"/>
        <v>2293.3897644037256</v>
      </c>
      <c r="AA55" s="73">
        <f t="shared" si="86"/>
        <v>2274.5641749101978</v>
      </c>
      <c r="AB55" s="73">
        <f t="shared" si="86"/>
        <v>2256.0899179805929</v>
      </c>
      <c r="AC55" s="73">
        <f t="shared" si="86"/>
        <v>2237.9604368709374</v>
      </c>
      <c r="AD55" s="73">
        <f t="shared" si="86"/>
        <v>2228.4273412682865</v>
      </c>
      <c r="AE55" s="73">
        <f t="shared" si="86"/>
        <v>2218.9895766216628</v>
      </c>
      <c r="AF55" s="73">
        <f t="shared" si="86"/>
        <v>2209.6461896215051</v>
      </c>
      <c r="AG55" s="73">
        <f t="shared" si="86"/>
        <v>2200.3962364913482</v>
      </c>
      <c r="AH55" s="73">
        <f t="shared" si="86"/>
        <v>2191.238782892493</v>
      </c>
      <c r="AI55" s="73">
        <f t="shared" si="86"/>
        <v>2182.1729038296266</v>
      </c>
      <c r="AJ55" s="73">
        <f t="shared" si="86"/>
        <v>2173.1976835573892</v>
      </c>
      <c r="AK55" s="73">
        <f t="shared" si="86"/>
        <v>2164.3122154878743</v>
      </c>
      <c r="AL55" s="73">
        <f t="shared" si="86"/>
        <v>2155.5156020990539</v>
      </c>
      <c r="AM55" s="73">
        <f t="shared" si="86"/>
        <v>2146.8069548441217</v>
      </c>
      <c r="AN55" s="73">
        <f t="shared" si="86"/>
        <v>2138.1853940617393</v>
      </c>
      <c r="AO55" s="73">
        <f t="shared" si="86"/>
        <v>2129.6500488871802</v>
      </c>
      <c r="AT55" s="48"/>
    </row>
    <row r="56" spans="1:46" s="53" customFormat="1" ht="13.5" x14ac:dyDescent="0.25">
      <c r="A56" s="48"/>
      <c r="B56" s="629"/>
      <c r="C56" s="635"/>
      <c r="D56" s="88"/>
      <c r="E56" s="110" t="s">
        <v>198</v>
      </c>
      <c r="F56" s="88"/>
      <c r="G56" s="73" t="e">
        <f>#REF!</f>
        <v>#REF!</v>
      </c>
      <c r="H56" s="73" t="e">
        <f>#REF!</f>
        <v>#REF!</v>
      </c>
      <c r="I56" s="73">
        <f>I65</f>
        <v>176331.6308348047</v>
      </c>
      <c r="J56" s="73">
        <f t="shared" ref="J56:AO56" si="87">J65</f>
        <v>173131.45666856633</v>
      </c>
      <c r="K56" s="73">
        <f t="shared" si="87"/>
        <v>170022.18504677355</v>
      </c>
      <c r="L56" s="73">
        <f t="shared" si="87"/>
        <v>167001.08768517803</v>
      </c>
      <c r="M56" s="73">
        <f t="shared" si="87"/>
        <v>164065.52183098593</v>
      </c>
      <c r="N56" s="73">
        <f t="shared" si="87"/>
        <v>162081.95151357524</v>
      </c>
      <c r="O56" s="73">
        <f t="shared" si="87"/>
        <v>160134.85143231903</v>
      </c>
      <c r="P56" s="73">
        <f t="shared" si="87"/>
        <v>158223.55055397056</v>
      </c>
      <c r="Q56" s="73">
        <f t="shared" si="87"/>
        <v>156347.390200572</v>
      </c>
      <c r="R56" s="73">
        <f t="shared" si="87"/>
        <v>154505.72382181097</v>
      </c>
      <c r="S56" s="73">
        <f t="shared" si="87"/>
        <v>153129.60003073074</v>
      </c>
      <c r="T56" s="73">
        <f t="shared" si="87"/>
        <v>151779.15814990157</v>
      </c>
      <c r="U56" s="73">
        <f t="shared" si="87"/>
        <v>150453.91889067332</v>
      </c>
      <c r="V56" s="73">
        <f t="shared" si="87"/>
        <v>149153.41190912056</v>
      </c>
      <c r="W56" s="73">
        <f t="shared" si="87"/>
        <v>147877.17563911094</v>
      </c>
      <c r="X56" s="73">
        <f t="shared" si="87"/>
        <v>146624.75712849034</v>
      </c>
      <c r="Y56" s="73">
        <f t="shared" si="87"/>
        <v>145395.71187832419</v>
      </c>
      <c r="Z56" s="73">
        <f t="shared" si="87"/>
        <v>144189.60368513933</v>
      </c>
      <c r="AA56" s="73">
        <f t="shared" si="87"/>
        <v>143006.00448610974</v>
      </c>
      <c r="AB56" s="73">
        <f t="shared" si="87"/>
        <v>141844.49420713205</v>
      </c>
      <c r="AC56" s="73">
        <f t="shared" si="87"/>
        <v>140704.66061373582</v>
      </c>
      <c r="AD56" s="73">
        <f t="shared" si="87"/>
        <v>140105.29747966508</v>
      </c>
      <c r="AE56" s="73">
        <f t="shared" si="87"/>
        <v>139511.92797693508</v>
      </c>
      <c r="AF56" s="73">
        <f t="shared" si="87"/>
        <v>138924.49216923237</v>
      </c>
      <c r="AG56" s="73">
        <f t="shared" si="87"/>
        <v>138342.93071960664</v>
      </c>
      <c r="AH56" s="73">
        <f t="shared" si="87"/>
        <v>137767.18488447717</v>
      </c>
      <c r="AI56" s="73">
        <f t="shared" si="87"/>
        <v>137197.19650769903</v>
      </c>
      <c r="AJ56" s="73">
        <f t="shared" si="87"/>
        <v>136632.90801468867</v>
      </c>
      <c r="AK56" s="73">
        <f t="shared" si="87"/>
        <v>136074.26240660844</v>
      </c>
      <c r="AL56" s="73">
        <f t="shared" si="87"/>
        <v>135521.20325460896</v>
      </c>
      <c r="AM56" s="73">
        <f t="shared" si="87"/>
        <v>134973.6746941295</v>
      </c>
      <c r="AN56" s="73">
        <f t="shared" si="87"/>
        <v>134431.62141925484</v>
      </c>
      <c r="AO56" s="73">
        <f t="shared" si="87"/>
        <v>133894.98867712889</v>
      </c>
      <c r="AT56" s="48"/>
    </row>
    <row r="57" spans="1:46" s="53" customFormat="1" ht="14.25" thickBot="1" x14ac:dyDescent="0.3">
      <c r="A57" s="48"/>
      <c r="B57" s="54"/>
      <c r="C57" s="124"/>
      <c r="D57" s="54"/>
      <c r="E57" s="125"/>
      <c r="F57" s="126"/>
      <c r="G57" s="116"/>
      <c r="H57" s="116"/>
      <c r="I57" s="117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T57" s="48"/>
    </row>
    <row r="58" spans="1:46" s="53" customFormat="1" ht="15.75" thickBot="1" x14ac:dyDescent="0.3">
      <c r="A58" s="48"/>
      <c r="B58" s="107"/>
      <c r="C58" s="106" t="s">
        <v>199</v>
      </c>
      <c r="D58" s="54"/>
      <c r="E58" s="127"/>
      <c r="F58" s="126"/>
      <c r="G58" s="128"/>
      <c r="H58" s="128"/>
      <c r="I58" s="129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T58" s="48"/>
    </row>
    <row r="59" spans="1:46" s="53" customFormat="1" ht="17.25" customHeight="1" x14ac:dyDescent="0.25">
      <c r="A59" s="48"/>
      <c r="B59" s="107">
        <f>B55+1</f>
        <v>35</v>
      </c>
      <c r="C59" s="111" t="s">
        <v>200</v>
      </c>
      <c r="D59" s="109"/>
      <c r="E59" s="130" t="s">
        <v>192</v>
      </c>
      <c r="F59" s="109"/>
      <c r="G59" s="73">
        <f>G46</f>
        <v>126.1</v>
      </c>
      <c r="H59" s="73">
        <f>H46</f>
        <v>222.25</v>
      </c>
      <c r="I59" s="86">
        <f>I60*0.35</f>
        <v>215.50385528081881</v>
      </c>
      <c r="J59" s="86">
        <f>J60*0.35</f>
        <v>212.29333214423929</v>
      </c>
      <c r="K59" s="86">
        <f t="shared" ref="K59:AO59" si="88">K60*0.35</f>
        <v>209.17400551977312</v>
      </c>
      <c r="L59" s="86">
        <f t="shared" si="88"/>
        <v>206.14313830023585</v>
      </c>
      <c r="M59" s="86">
        <f t="shared" si="88"/>
        <v>203.19807918649551</v>
      </c>
      <c r="N59" s="86">
        <f t="shared" si="88"/>
        <v>201.20809424621802</v>
      </c>
      <c r="O59" s="86">
        <f t="shared" si="88"/>
        <v>199.25469748236091</v>
      </c>
      <c r="P59" s="86">
        <f t="shared" si="88"/>
        <v>197.33721569163845</v>
      </c>
      <c r="Q59" s="86">
        <f t="shared" si="88"/>
        <v>195.45498806600904</v>
      </c>
      <c r="R59" s="86">
        <f t="shared" si="88"/>
        <v>193.60736596429606</v>
      </c>
      <c r="S59" s="86">
        <f t="shared" si="88"/>
        <v>192.22679195783383</v>
      </c>
      <c r="T59" s="86">
        <f t="shared" si="88"/>
        <v>190.8719829137672</v>
      </c>
      <c r="U59" s="86">
        <f t="shared" si="88"/>
        <v>189.54245799348544</v>
      </c>
      <c r="V59" s="86">
        <f t="shared" si="88"/>
        <v>188.23774533202851</v>
      </c>
      <c r="W59" s="86">
        <f t="shared" si="88"/>
        <v>186.95738187061596</v>
      </c>
      <c r="X59" s="86">
        <f t="shared" si="88"/>
        <v>185.70091319230204</v>
      </c>
      <c r="Y59" s="86">
        <f t="shared" si="88"/>
        <v>184.46789336069713</v>
      </c>
      <c r="Z59" s="86">
        <f t="shared" si="88"/>
        <v>183.25788476169961</v>
      </c>
      <c r="AA59" s="86">
        <f t="shared" si="88"/>
        <v>182.07045794818083</v>
      </c>
      <c r="AB59" s="86">
        <f t="shared" si="88"/>
        <v>180.90519148756937</v>
      </c>
      <c r="AC59" s="86">
        <f t="shared" si="88"/>
        <v>179.76167181227908</v>
      </c>
      <c r="AD59" s="86">
        <f t="shared" si="88"/>
        <v>179.16037041142164</v>
      </c>
      <c r="AE59" s="86">
        <f t="shared" si="88"/>
        <v>178.56508202457275</v>
      </c>
      <c r="AF59" s="86">
        <f t="shared" si="88"/>
        <v>177.97574652159241</v>
      </c>
      <c r="AG59" s="86">
        <f t="shared" si="88"/>
        <v>177.39230437364182</v>
      </c>
      <c r="AH59" s="86">
        <f t="shared" si="88"/>
        <v>176.81469664717071</v>
      </c>
      <c r="AI59" s="86">
        <f t="shared" si="88"/>
        <v>176.24286499796438</v>
      </c>
      <c r="AJ59" s="86">
        <f t="shared" si="88"/>
        <v>175.67675166525007</v>
      </c>
      <c r="AK59" s="86">
        <f t="shared" si="88"/>
        <v>175.11629946586294</v>
      </c>
      <c r="AL59" s="86">
        <f t="shared" si="88"/>
        <v>174.56145178846964</v>
      </c>
      <c r="AM59" s="86">
        <f t="shared" si="88"/>
        <v>174.0121525878503</v>
      </c>
      <c r="AN59" s="86">
        <f t="shared" si="88"/>
        <v>173.46834637923715</v>
      </c>
      <c r="AO59" s="86">
        <f t="shared" si="88"/>
        <v>172.92997823271008</v>
      </c>
      <c r="AT59" s="48"/>
    </row>
    <row r="60" spans="1:46" s="53" customFormat="1" ht="19.5" customHeight="1" x14ac:dyDescent="0.25">
      <c r="A60" s="48"/>
      <c r="B60" s="107">
        <f t="shared" ref="B60:B84" si="89">B59+1</f>
        <v>36</v>
      </c>
      <c r="C60" s="111" t="s">
        <v>201</v>
      </c>
      <c r="D60" s="109"/>
      <c r="E60" s="130" t="s">
        <v>188</v>
      </c>
      <c r="F60" s="109"/>
      <c r="G60" s="73">
        <f t="shared" ref="G60:AO60" si="90">G40-G70</f>
        <v>642.18049559999997</v>
      </c>
      <c r="H60" s="73">
        <f t="shared" si="90"/>
        <v>625.12765919999993</v>
      </c>
      <c r="I60" s="73">
        <f t="shared" si="90"/>
        <v>615.72530080233946</v>
      </c>
      <c r="J60" s="73">
        <f t="shared" si="90"/>
        <v>606.55237755496944</v>
      </c>
      <c r="K60" s="73">
        <f t="shared" si="90"/>
        <v>597.64001577078034</v>
      </c>
      <c r="L60" s="73">
        <f t="shared" si="90"/>
        <v>588.98039514353104</v>
      </c>
      <c r="M60" s="73">
        <f t="shared" si="90"/>
        <v>580.56594053284437</v>
      </c>
      <c r="N60" s="73">
        <f t="shared" si="90"/>
        <v>574.88026927490864</v>
      </c>
      <c r="O60" s="73">
        <f t="shared" si="90"/>
        <v>569.29913566388836</v>
      </c>
      <c r="P60" s="73">
        <f t="shared" si="90"/>
        <v>563.82061626182417</v>
      </c>
      <c r="Q60" s="73">
        <f t="shared" si="90"/>
        <v>558.44282304574017</v>
      </c>
      <c r="R60" s="73">
        <f t="shared" si="90"/>
        <v>553.16390275513163</v>
      </c>
      <c r="S60" s="73">
        <f t="shared" si="90"/>
        <v>549.21940559381096</v>
      </c>
      <c r="T60" s="73">
        <f t="shared" si="90"/>
        <v>545.34852261076344</v>
      </c>
      <c r="U60" s="73">
        <f t="shared" si="90"/>
        <v>541.54987998138699</v>
      </c>
      <c r="V60" s="73">
        <f t="shared" si="90"/>
        <v>537.82212952008149</v>
      </c>
      <c r="W60" s="73">
        <f t="shared" si="90"/>
        <v>534.16394820175992</v>
      </c>
      <c r="X60" s="73">
        <f t="shared" si="90"/>
        <v>530.57403769229154</v>
      </c>
      <c r="Y60" s="73">
        <f t="shared" si="90"/>
        <v>527.05112388770613</v>
      </c>
      <c r="Z60" s="73">
        <f t="shared" si="90"/>
        <v>523.59395646199891</v>
      </c>
      <c r="AA60" s="73">
        <f t="shared" si="90"/>
        <v>520.2013084233738</v>
      </c>
      <c r="AB60" s="73">
        <f t="shared" si="90"/>
        <v>516.87197567876967</v>
      </c>
      <c r="AC60" s="73">
        <f t="shared" si="90"/>
        <v>513.60477660651168</v>
      </c>
      <c r="AD60" s="73">
        <f t="shared" si="90"/>
        <v>511.88677260406183</v>
      </c>
      <c r="AE60" s="73">
        <f t="shared" si="90"/>
        <v>510.18594864163646</v>
      </c>
      <c r="AF60" s="73">
        <f t="shared" si="90"/>
        <v>508.50213291883546</v>
      </c>
      <c r="AG60" s="73">
        <f t="shared" si="90"/>
        <v>506.83515535326234</v>
      </c>
      <c r="AH60" s="73">
        <f t="shared" si="90"/>
        <v>505.18484756334493</v>
      </c>
      <c r="AI60" s="73">
        <f t="shared" si="90"/>
        <v>503.55104285132683</v>
      </c>
      <c r="AJ60" s="73">
        <f t="shared" si="90"/>
        <v>501.93357618642881</v>
      </c>
      <c r="AK60" s="73">
        <f t="shared" si="90"/>
        <v>500.33228418817981</v>
      </c>
      <c r="AL60" s="73">
        <f t="shared" si="90"/>
        <v>498.74700510991329</v>
      </c>
      <c r="AM60" s="73">
        <f t="shared" si="90"/>
        <v>497.17757882242944</v>
      </c>
      <c r="AN60" s="73">
        <f t="shared" si="90"/>
        <v>495.62384679782042</v>
      </c>
      <c r="AO60" s="73">
        <f t="shared" si="90"/>
        <v>494.08565209345744</v>
      </c>
      <c r="AT60" s="48"/>
    </row>
    <row r="61" spans="1:46" s="53" customFormat="1" ht="19.5" customHeight="1" x14ac:dyDescent="0.25">
      <c r="A61" s="48"/>
      <c r="B61" s="107">
        <f>B60+1</f>
        <v>37</v>
      </c>
      <c r="C61" s="466" t="s">
        <v>570</v>
      </c>
      <c r="D61" s="109"/>
      <c r="E61" s="130" t="s">
        <v>192</v>
      </c>
      <c r="F61" s="109"/>
      <c r="G61" s="73">
        <f>(((G60*1000/'1.Input'!$K$63)*'1.Input'!$K$61)/1000)+'2.BilantNOPRO'!G59</f>
        <v>304.48347100000001</v>
      </c>
      <c r="H61" s="73">
        <f>(((H60*1000/'1.Input'!$K$63)*'1.Input'!$K$61)/1000)+'2.BilantNOPRO'!H59</f>
        <v>395.89657199999999</v>
      </c>
      <c r="I61" s="73">
        <f>(((I60*1000/'1.Input'!$K$63)*'1.Input'!$K$61)/1000)+'2.BilantNOPRO'!I59</f>
        <v>386.53866105924646</v>
      </c>
      <c r="J61" s="73">
        <f>(((J60*1000/'1.Input'!$K$63)*'1.Input'!$K$61)/1000)+'2.BilantNOPRO'!J59</f>
        <v>380.78010368728633</v>
      </c>
      <c r="K61" s="73">
        <f>(((K60*1000/'1.Input'!$K$63)*'1.Input'!$K$61)/1000)+'2.BilantNOPRO'!K59</f>
        <v>375.18512101165658</v>
      </c>
      <c r="L61" s="73">
        <f>(((L60*1000/'1.Input'!$K$63)*'1.Input'!$K$61)/1000)+'2.BilantNOPRO'!L59</f>
        <v>369.74880361788337</v>
      </c>
      <c r="M61" s="73">
        <f>(((M60*1000/'1.Input'!$K$63)*'1.Input'!$K$61)/1000)+'2.BilantNOPRO'!M59</f>
        <v>364.46639600117453</v>
      </c>
      <c r="N61" s="73">
        <f>(((N60*1000/'1.Input'!$K$63)*'1.Input'!$K$61)/1000)+'2.BilantNOPRO'!N59</f>
        <v>360.89705793369262</v>
      </c>
      <c r="O61" s="73">
        <f>(((O60*1000/'1.Input'!$K$63)*'1.Input'!$K$61)/1000)+'2.BilantNOPRO'!O59</f>
        <v>357.39334627788548</v>
      </c>
      <c r="P61" s="73">
        <f>(((P60*1000/'1.Input'!$K$63)*'1.Input'!$K$61)/1000)+'2.BilantNOPRO'!P59</f>
        <v>353.95405354214518</v>
      </c>
      <c r="Q61" s="73">
        <f>(((Q60*1000/'1.Input'!$K$63)*'1.Input'!$K$61)/1000)+'2.BilantNOPRO'!Q59</f>
        <v>350.5779944676035</v>
      </c>
      <c r="R61" s="73">
        <f>(((R60*1000/'1.Input'!$K$63)*'1.Input'!$K$61)/1000)+'2.BilantNOPRO'!R59</f>
        <v>347.26400561849925</v>
      </c>
      <c r="S61" s="73">
        <f>(((S60*1000/'1.Input'!$K$63)*'1.Input'!$K$61)/1000)+'2.BilantNOPRO'!S59</f>
        <v>344.78773795611465</v>
      </c>
      <c r="T61" s="73">
        <f>(((T60*1000/'1.Input'!$K$63)*'1.Input'!$K$61)/1000)+'2.BilantNOPRO'!T59</f>
        <v>342.35768363897927</v>
      </c>
      <c r="U61" s="73">
        <f>(((U60*1000/'1.Input'!$K$63)*'1.Input'!$K$61)/1000)+'2.BilantNOPRO'!U59</f>
        <v>339.97298021053734</v>
      </c>
      <c r="V61" s="73">
        <f>(((V60*1000/'1.Input'!$K$63)*'1.Input'!$K$61)/1000)+'2.BilantNOPRO'!V59</f>
        <v>337.63278130982894</v>
      </c>
      <c r="W61" s="73">
        <f>(((W60*1000/'1.Input'!$K$63)*'1.Input'!$K$61)/1000)+'2.BilantNOPRO'!W59</f>
        <v>335.33625637110487</v>
      </c>
      <c r="X61" s="73">
        <f>(((X60*1000/'1.Input'!$K$63)*'1.Input'!$K$61)/1000)+'2.BilantNOPRO'!X59</f>
        <v>333.08259032904971</v>
      </c>
      <c r="Y61" s="73">
        <f>(((Y60*1000/'1.Input'!$K$63)*'1.Input'!$K$61)/1000)+'2.BilantNOPRO'!Y59</f>
        <v>330.87098332950438</v>
      </c>
      <c r="Z61" s="73">
        <f>(((Z60*1000/'1.Input'!$K$63)*'1.Input'!$K$61)/1000)+'2.BilantNOPRO'!Z59</f>
        <v>328.70065044558822</v>
      </c>
      <c r="AA61" s="73">
        <f>(((AA60*1000/'1.Input'!$K$63)*'1.Input'!$K$61)/1000)+'2.BilantNOPRO'!AA59</f>
        <v>326.57082139911802</v>
      </c>
      <c r="AB61" s="73">
        <f>(((AB60*1000/'1.Input'!$K$63)*'1.Input'!$K$61)/1000)+'2.BilantNOPRO'!AB59</f>
        <v>324.4807402872276</v>
      </c>
      <c r="AC61" s="73">
        <f>(((AC60*1000/'1.Input'!$K$63)*'1.Input'!$K$61)/1000)+'2.BilantNOPRO'!AC59</f>
        <v>322.42966531408786</v>
      </c>
      <c r="AD61" s="73">
        <f>(((AD60*1000/'1.Input'!$K$63)*'1.Input'!$K$61)/1000)+'2.BilantNOPRO'!AD59</f>
        <v>321.35114057921658</v>
      </c>
      <c r="AE61" s="73">
        <f>(((AE60*1000/'1.Input'!$K$63)*'1.Input'!$K$61)/1000)+'2.BilantNOPRO'!AE59</f>
        <v>320.28340109169403</v>
      </c>
      <c r="AF61" s="73">
        <f>(((AF60*1000/'1.Input'!$K$63)*'1.Input'!$K$61)/1000)+'2.BilantNOPRO'!AF59</f>
        <v>319.22633899904673</v>
      </c>
      <c r="AG61" s="73">
        <f>(((AG60*1000/'1.Input'!$K$63)*'1.Input'!$K$61)/1000)+'2.BilantNOPRO'!AG59</f>
        <v>318.17984752732582</v>
      </c>
      <c r="AH61" s="73">
        <f>(((AH60*1000/'1.Input'!$K$63)*'1.Input'!$K$61)/1000)+'2.BilantNOPRO'!AH59</f>
        <v>317.14382097032211</v>
      </c>
      <c r="AI61" s="73">
        <f>(((AI60*1000/'1.Input'!$K$63)*'1.Input'!$K$61)/1000)+'2.BilantNOPRO'!AI59</f>
        <v>316.11815467888846</v>
      </c>
      <c r="AJ61" s="73">
        <f>(((AJ60*1000/'1.Input'!$K$63)*'1.Input'!$K$61)/1000)+'2.BilantNOPRO'!AJ59</f>
        <v>315.10274505036921</v>
      </c>
      <c r="AK61" s="73">
        <f>(((AK60*1000/'1.Input'!$K$63)*'1.Input'!$K$61)/1000)+'2.BilantNOPRO'!AK59</f>
        <v>314.09748951813515</v>
      </c>
      <c r="AL61" s="73">
        <f>(((AL60*1000/'1.Input'!$K$63)*'1.Input'!$K$61)/1000)+'2.BilantNOPRO'!AL59</f>
        <v>313.10228654122335</v>
      </c>
      <c r="AM61" s="73">
        <f>(((AM60*1000/'1.Input'!$K$63)*'1.Input'!$K$61)/1000)+'2.BilantNOPRO'!AM59</f>
        <v>312.11703559408068</v>
      </c>
      <c r="AN61" s="73">
        <f>(((AN60*1000/'1.Input'!$K$63)*'1.Input'!$K$61)/1000)+'2.BilantNOPRO'!AN59</f>
        <v>311.1416371564095</v>
      </c>
      <c r="AO61" s="73">
        <f>(((AO60*1000/'1.Input'!$K$63)*'1.Input'!$K$61)/1000)+'2.BilantNOPRO'!AO59</f>
        <v>310.17599270311496</v>
      </c>
      <c r="AT61" s="48"/>
    </row>
    <row r="62" spans="1:46" s="53" customFormat="1" ht="13.5" x14ac:dyDescent="0.25">
      <c r="A62" s="48"/>
      <c r="B62" s="629">
        <f>B61+1</f>
        <v>38</v>
      </c>
      <c r="C62" s="631" t="s">
        <v>215</v>
      </c>
      <c r="D62" s="109"/>
      <c r="E62" s="130" t="s">
        <v>196</v>
      </c>
      <c r="F62" s="109"/>
      <c r="G62" s="122">
        <v>0</v>
      </c>
      <c r="H62" s="122">
        <v>0</v>
      </c>
      <c r="I62" s="123">
        <v>612</v>
      </c>
      <c r="J62" s="123">
        <v>612</v>
      </c>
      <c r="K62" s="123">
        <v>612</v>
      </c>
      <c r="L62" s="123">
        <v>612</v>
      </c>
      <c r="M62" s="123">
        <v>612</v>
      </c>
      <c r="N62" s="123">
        <v>612</v>
      </c>
      <c r="O62" s="123">
        <v>612</v>
      </c>
      <c r="P62" s="123">
        <v>612</v>
      </c>
      <c r="Q62" s="123">
        <v>612</v>
      </c>
      <c r="R62" s="123">
        <v>612</v>
      </c>
      <c r="S62" s="123">
        <v>612</v>
      </c>
      <c r="T62" s="123">
        <v>612</v>
      </c>
      <c r="U62" s="123">
        <v>612</v>
      </c>
      <c r="V62" s="123">
        <v>612</v>
      </c>
      <c r="W62" s="123">
        <v>612</v>
      </c>
      <c r="X62" s="123">
        <v>612</v>
      </c>
      <c r="Y62" s="123">
        <v>612</v>
      </c>
      <c r="Z62" s="123">
        <v>612</v>
      </c>
      <c r="AA62" s="123">
        <v>612</v>
      </c>
      <c r="AB62" s="123">
        <v>612</v>
      </c>
      <c r="AC62" s="123">
        <v>612</v>
      </c>
      <c r="AD62" s="123">
        <v>612</v>
      </c>
      <c r="AE62" s="123">
        <v>612</v>
      </c>
      <c r="AF62" s="123">
        <v>612</v>
      </c>
      <c r="AG62" s="123">
        <v>612</v>
      </c>
      <c r="AH62" s="123">
        <v>612</v>
      </c>
      <c r="AI62" s="123">
        <v>612</v>
      </c>
      <c r="AJ62" s="123">
        <v>612</v>
      </c>
      <c r="AK62" s="123">
        <v>612</v>
      </c>
      <c r="AL62" s="123">
        <v>612</v>
      </c>
      <c r="AM62" s="123">
        <v>612</v>
      </c>
      <c r="AN62" s="123">
        <v>612</v>
      </c>
      <c r="AO62" s="123">
        <v>612</v>
      </c>
      <c r="AT62" s="48"/>
    </row>
    <row r="63" spans="1:46" s="53" customFormat="1" ht="13.5" x14ac:dyDescent="0.25">
      <c r="A63" s="48"/>
      <c r="B63" s="629"/>
      <c r="C63" s="632"/>
      <c r="D63" s="88"/>
      <c r="E63" s="130" t="s">
        <v>197</v>
      </c>
      <c r="F63" s="109"/>
      <c r="G63" s="73">
        <v>0</v>
      </c>
      <c r="H63" s="73">
        <v>0</v>
      </c>
      <c r="I63" s="123">
        <f>(I62*1000/'1.Input'!$K$63)/8.24</f>
        <v>17739.525332042173</v>
      </c>
      <c r="J63" s="123">
        <f>(J62*1000/'1.Input'!$K$63)/8.24</f>
        <v>17739.525332042173</v>
      </c>
      <c r="K63" s="123">
        <f>(K62*1000/'1.Input'!$K$63)/8.24</f>
        <v>17739.525332042173</v>
      </c>
      <c r="L63" s="123">
        <f>(L62*1000/'1.Input'!$K$63)/8.24</f>
        <v>17739.525332042173</v>
      </c>
      <c r="M63" s="123">
        <f>(M62*1000/'1.Input'!$K$63)/8.24</f>
        <v>17739.525332042173</v>
      </c>
      <c r="N63" s="123">
        <f>(N62*1000/'1.Input'!$K$63)/8.24</f>
        <v>17739.525332042173</v>
      </c>
      <c r="O63" s="123">
        <f>(O62*1000/'1.Input'!$K$63)/8.24</f>
        <v>17739.525332042173</v>
      </c>
      <c r="P63" s="123">
        <f>(P62*1000/'1.Input'!$K$63)/8.24</f>
        <v>17739.525332042173</v>
      </c>
      <c r="Q63" s="123">
        <f>(Q62*1000/'1.Input'!$K$63)/8.24</f>
        <v>17739.525332042173</v>
      </c>
      <c r="R63" s="123">
        <f>(R62*1000/'1.Input'!$K$63)/8.24</f>
        <v>17739.525332042173</v>
      </c>
      <c r="S63" s="123">
        <f>(S62*1000/'1.Input'!$K$63)/8.24</f>
        <v>17739.525332042173</v>
      </c>
      <c r="T63" s="123">
        <f>(T62*1000/'1.Input'!$K$63)/8.24</f>
        <v>17739.525332042173</v>
      </c>
      <c r="U63" s="123">
        <f>(U62*1000/'1.Input'!$K$63)/8.24</f>
        <v>17739.525332042173</v>
      </c>
      <c r="V63" s="123">
        <f>(V62*1000/'1.Input'!$K$63)/8.24</f>
        <v>17739.525332042173</v>
      </c>
      <c r="W63" s="123">
        <f>(W62*1000/'1.Input'!$K$63)/8.24</f>
        <v>17739.525332042173</v>
      </c>
      <c r="X63" s="123">
        <f>(X62*1000/'1.Input'!$K$63)/8.24</f>
        <v>17739.525332042173</v>
      </c>
      <c r="Y63" s="123">
        <f>(Y62*1000/'1.Input'!$K$63)/8.24</f>
        <v>17739.525332042173</v>
      </c>
      <c r="Z63" s="123">
        <f>(Z62*1000/'1.Input'!$K$63)/8.24</f>
        <v>17739.525332042173</v>
      </c>
      <c r="AA63" s="123">
        <f>(AA62*1000/'1.Input'!$K$63)/8.24</f>
        <v>17739.525332042173</v>
      </c>
      <c r="AB63" s="123">
        <f>(AB62*1000/'1.Input'!$K$63)/8.24</f>
        <v>17739.525332042173</v>
      </c>
      <c r="AC63" s="123">
        <f>(AC62*1000/'1.Input'!$K$63)/8.24</f>
        <v>17739.525332042173</v>
      </c>
      <c r="AD63" s="123">
        <f>(AD62*1000/'1.Input'!$K$63)/8.24</f>
        <v>17739.525332042173</v>
      </c>
      <c r="AE63" s="123">
        <f>(AE62*1000/'1.Input'!$K$63)/8.24</f>
        <v>17739.525332042173</v>
      </c>
      <c r="AF63" s="123">
        <f>(AF62*1000/'1.Input'!$K$63)/8.24</f>
        <v>17739.525332042173</v>
      </c>
      <c r="AG63" s="123">
        <f>(AG62*1000/'1.Input'!$K$63)/8.24</f>
        <v>17739.525332042173</v>
      </c>
      <c r="AH63" s="123">
        <f>(AH62*1000/'1.Input'!$K$63)/8.24</f>
        <v>17739.525332042173</v>
      </c>
      <c r="AI63" s="123">
        <f>(AI62*1000/'1.Input'!$K$63)/8.24</f>
        <v>17739.525332042173</v>
      </c>
      <c r="AJ63" s="123">
        <f>(AJ62*1000/'1.Input'!$K$63)/8.24</f>
        <v>17739.525332042173</v>
      </c>
      <c r="AK63" s="123">
        <f>(AK62*1000/'1.Input'!$K$63)/8.24</f>
        <v>17739.525332042173</v>
      </c>
      <c r="AL63" s="123">
        <f>(AL62*1000/'1.Input'!$K$63)/8.24</f>
        <v>17739.525332042173</v>
      </c>
      <c r="AM63" s="123">
        <f>(AM62*1000/'1.Input'!$K$63)/8.24</f>
        <v>17739.525332042173</v>
      </c>
      <c r="AN63" s="123">
        <f>(AN62*1000/'1.Input'!$K$63)/8.24</f>
        <v>17739.525332042173</v>
      </c>
      <c r="AO63" s="123">
        <f>(AO62*1000/'1.Input'!$K$63)/8.24</f>
        <v>17739.525332042173</v>
      </c>
      <c r="AT63" s="48"/>
    </row>
    <row r="64" spans="1:46" s="53" customFormat="1" ht="13.5" x14ac:dyDescent="0.25">
      <c r="A64" s="48"/>
      <c r="B64" s="630">
        <f>B62+1</f>
        <v>39</v>
      </c>
      <c r="C64" s="638" t="s">
        <v>567</v>
      </c>
      <c r="D64" s="107"/>
      <c r="E64" s="130" t="s">
        <v>196</v>
      </c>
      <c r="F64" s="109"/>
      <c r="G64" s="73" t="e">
        <f>#REF!+#REF!</f>
        <v>#REF!</v>
      </c>
      <c r="H64" s="73" t="e">
        <f>#REF!+#REF!</f>
        <v>#REF!</v>
      </c>
      <c r="I64" s="73">
        <f>I66*3.6-I62</f>
        <v>2804.6207698872813</v>
      </c>
      <c r="J64" s="73">
        <f t="shared" ref="J64:AO64" si="91">J66*3.6-J62</f>
        <v>2753.7207986716958</v>
      </c>
      <c r="K64" s="73">
        <f t="shared" si="91"/>
        <v>2704.2666665434062</v>
      </c>
      <c r="L64" s="73">
        <f t="shared" si="91"/>
        <v>2656.2149791174543</v>
      </c>
      <c r="M64" s="73">
        <f t="shared" si="91"/>
        <v>2609.5237024187645</v>
      </c>
      <c r="N64" s="73">
        <f t="shared" si="91"/>
        <v>2577.9742720391764</v>
      </c>
      <c r="O64" s="73">
        <f t="shared" si="91"/>
        <v>2547.0049144537729</v>
      </c>
      <c r="P64" s="73">
        <f t="shared" si="91"/>
        <v>2516.6049566269107</v>
      </c>
      <c r="Q64" s="73">
        <f t="shared" si="91"/>
        <v>2486.7639220384522</v>
      </c>
      <c r="R64" s="73">
        <f t="shared" si="91"/>
        <v>2457.471527063014</v>
      </c>
      <c r="S64" s="73">
        <f t="shared" si="91"/>
        <v>2435.5837616738572</v>
      </c>
      <c r="T64" s="73">
        <f t="shared" si="91"/>
        <v>2414.1044767062758</v>
      </c>
      <c r="U64" s="73">
        <f t="shared" si="91"/>
        <v>2393.0260488944009</v>
      </c>
      <c r="V64" s="73">
        <f t="shared" si="91"/>
        <v>2372.3409972415675</v>
      </c>
      <c r="W64" s="73">
        <f t="shared" si="91"/>
        <v>2352.0419803652035</v>
      </c>
      <c r="X64" s="73">
        <f t="shared" si="91"/>
        <v>2332.1217938912946</v>
      </c>
      <c r="Y64" s="73">
        <f t="shared" si="91"/>
        <v>2312.5733678974543</v>
      </c>
      <c r="Z64" s="73">
        <f t="shared" si="91"/>
        <v>2293.3897644037256</v>
      </c>
      <c r="AA64" s="73">
        <f t="shared" si="91"/>
        <v>2274.5641749101978</v>
      </c>
      <c r="AB64" s="73">
        <f t="shared" si="91"/>
        <v>2256.0899179805929</v>
      </c>
      <c r="AC64" s="73">
        <f t="shared" si="91"/>
        <v>2237.9604368709374</v>
      </c>
      <c r="AD64" s="73">
        <f t="shared" si="91"/>
        <v>2228.4273412682865</v>
      </c>
      <c r="AE64" s="73">
        <f t="shared" si="91"/>
        <v>2218.9895766216628</v>
      </c>
      <c r="AF64" s="73">
        <f t="shared" si="91"/>
        <v>2209.6461896215051</v>
      </c>
      <c r="AG64" s="73">
        <f t="shared" si="91"/>
        <v>2200.3962364913482</v>
      </c>
      <c r="AH64" s="73">
        <f t="shared" si="91"/>
        <v>2191.238782892493</v>
      </c>
      <c r="AI64" s="73">
        <f t="shared" si="91"/>
        <v>2182.1729038296266</v>
      </c>
      <c r="AJ64" s="73">
        <f t="shared" si="91"/>
        <v>2173.1976835573892</v>
      </c>
      <c r="AK64" s="73">
        <f t="shared" si="91"/>
        <v>2164.3122154878743</v>
      </c>
      <c r="AL64" s="73">
        <f t="shared" si="91"/>
        <v>2155.5156020990539</v>
      </c>
      <c r="AM64" s="73">
        <f t="shared" si="91"/>
        <v>2146.8069548441217</v>
      </c>
      <c r="AN64" s="73">
        <f t="shared" si="91"/>
        <v>2138.1853940617393</v>
      </c>
      <c r="AO64" s="73">
        <f t="shared" si="91"/>
        <v>2129.6500488871802</v>
      </c>
      <c r="AT64" s="48"/>
    </row>
    <row r="65" spans="1:46" s="53" customFormat="1" ht="13.5" x14ac:dyDescent="0.25">
      <c r="A65" s="48"/>
      <c r="B65" s="630"/>
      <c r="C65" s="638"/>
      <c r="D65" s="107"/>
      <c r="E65" s="130" t="s">
        <v>198</v>
      </c>
      <c r="F65" s="109"/>
      <c r="G65" s="73" t="e">
        <f>#REF!+#REF!</f>
        <v>#REF!</v>
      </c>
      <c r="H65" s="73" t="e">
        <f>#REF!+#REF!</f>
        <v>#REF!</v>
      </c>
      <c r="I65" s="73">
        <f>I64/$I$68</f>
        <v>176331.6308348047</v>
      </c>
      <c r="J65" s="73">
        <f t="shared" ref="J65:AO65" si="92">J64/$I$68</f>
        <v>173131.45666856633</v>
      </c>
      <c r="K65" s="73">
        <f t="shared" si="92"/>
        <v>170022.18504677355</v>
      </c>
      <c r="L65" s="73">
        <f t="shared" si="92"/>
        <v>167001.08768517803</v>
      </c>
      <c r="M65" s="73">
        <f t="shared" si="92"/>
        <v>164065.52183098593</v>
      </c>
      <c r="N65" s="73">
        <f t="shared" si="92"/>
        <v>162081.95151357524</v>
      </c>
      <c r="O65" s="73">
        <f t="shared" si="92"/>
        <v>160134.85143231903</v>
      </c>
      <c r="P65" s="73">
        <f t="shared" si="92"/>
        <v>158223.55055397056</v>
      </c>
      <c r="Q65" s="73">
        <f t="shared" si="92"/>
        <v>156347.390200572</v>
      </c>
      <c r="R65" s="73">
        <f t="shared" si="92"/>
        <v>154505.72382181097</v>
      </c>
      <c r="S65" s="73">
        <f t="shared" si="92"/>
        <v>153129.60003073074</v>
      </c>
      <c r="T65" s="73">
        <f t="shared" si="92"/>
        <v>151779.15814990157</v>
      </c>
      <c r="U65" s="73">
        <f t="shared" si="92"/>
        <v>150453.91889067332</v>
      </c>
      <c r="V65" s="73">
        <f t="shared" si="92"/>
        <v>149153.41190912056</v>
      </c>
      <c r="W65" s="73">
        <f t="shared" si="92"/>
        <v>147877.17563911094</v>
      </c>
      <c r="X65" s="73">
        <f t="shared" si="92"/>
        <v>146624.75712849034</v>
      </c>
      <c r="Y65" s="73">
        <f t="shared" si="92"/>
        <v>145395.71187832419</v>
      </c>
      <c r="Z65" s="73">
        <f t="shared" si="92"/>
        <v>144189.60368513933</v>
      </c>
      <c r="AA65" s="73">
        <f t="shared" si="92"/>
        <v>143006.00448610974</v>
      </c>
      <c r="AB65" s="73">
        <f t="shared" si="92"/>
        <v>141844.49420713205</v>
      </c>
      <c r="AC65" s="73">
        <f t="shared" si="92"/>
        <v>140704.66061373582</v>
      </c>
      <c r="AD65" s="73">
        <f t="shared" si="92"/>
        <v>140105.29747966508</v>
      </c>
      <c r="AE65" s="73">
        <f t="shared" si="92"/>
        <v>139511.92797693508</v>
      </c>
      <c r="AF65" s="73">
        <f t="shared" si="92"/>
        <v>138924.49216923237</v>
      </c>
      <c r="AG65" s="73">
        <f t="shared" si="92"/>
        <v>138342.93071960664</v>
      </c>
      <c r="AH65" s="73">
        <f t="shared" si="92"/>
        <v>137767.18488447717</v>
      </c>
      <c r="AI65" s="73">
        <f t="shared" si="92"/>
        <v>137197.19650769903</v>
      </c>
      <c r="AJ65" s="73">
        <f t="shared" si="92"/>
        <v>136632.90801468867</v>
      </c>
      <c r="AK65" s="73">
        <f t="shared" si="92"/>
        <v>136074.26240660844</v>
      </c>
      <c r="AL65" s="73">
        <f t="shared" si="92"/>
        <v>135521.20325460896</v>
      </c>
      <c r="AM65" s="73">
        <f t="shared" si="92"/>
        <v>134973.6746941295</v>
      </c>
      <c r="AN65" s="73">
        <f t="shared" si="92"/>
        <v>134431.62141925484</v>
      </c>
      <c r="AO65" s="73">
        <f t="shared" si="92"/>
        <v>133894.98867712889</v>
      </c>
      <c r="AT65" s="48"/>
    </row>
    <row r="66" spans="1:46" s="53" customFormat="1" ht="13.5" x14ac:dyDescent="0.25">
      <c r="A66" s="48"/>
      <c r="B66" s="630"/>
      <c r="C66" s="638"/>
      <c r="D66" s="54"/>
      <c r="E66" s="130" t="s">
        <v>192</v>
      </c>
      <c r="F66" s="126"/>
      <c r="G66" s="116"/>
      <c r="H66" s="116"/>
      <c r="I66" s="73">
        <f>I61*$I$67</f>
        <v>949.06132496868918</v>
      </c>
      <c r="J66" s="73">
        <f t="shared" ref="J66:AO66" si="93">J61*$I$67</f>
        <v>934.92244407547105</v>
      </c>
      <c r="K66" s="73">
        <f t="shared" si="93"/>
        <v>921.18518515094615</v>
      </c>
      <c r="L66" s="73">
        <f t="shared" si="93"/>
        <v>907.83749419929279</v>
      </c>
      <c r="M66" s="73">
        <f t="shared" si="93"/>
        <v>894.86769511632349</v>
      </c>
      <c r="N66" s="73">
        <f t="shared" si="93"/>
        <v>886.10396445532672</v>
      </c>
      <c r="O66" s="73">
        <f t="shared" si="93"/>
        <v>877.50136512604797</v>
      </c>
      <c r="P66" s="73">
        <f t="shared" si="93"/>
        <v>869.05693239636412</v>
      </c>
      <c r="Q66" s="73">
        <f t="shared" si="93"/>
        <v>860.76775612179222</v>
      </c>
      <c r="R66" s="73">
        <f t="shared" si="93"/>
        <v>852.63097973972606</v>
      </c>
      <c r="S66" s="73">
        <f t="shared" si="93"/>
        <v>846.55104490940482</v>
      </c>
      <c r="T66" s="73">
        <f t="shared" si="93"/>
        <v>840.58457686285442</v>
      </c>
      <c r="U66" s="73">
        <f t="shared" si="93"/>
        <v>834.72945802622246</v>
      </c>
      <c r="V66" s="73">
        <f t="shared" si="93"/>
        <v>828.98361034487982</v>
      </c>
      <c r="W66" s="73">
        <f t="shared" si="93"/>
        <v>823.34499454588979</v>
      </c>
      <c r="X66" s="73">
        <f t="shared" si="93"/>
        <v>817.81160941424844</v>
      </c>
      <c r="Y66" s="73">
        <f t="shared" si="93"/>
        <v>812.38149108262621</v>
      </c>
      <c r="Z66" s="73">
        <f t="shared" si="93"/>
        <v>807.05271233436827</v>
      </c>
      <c r="AA66" s="73">
        <f t="shared" si="93"/>
        <v>801.82338191949941</v>
      </c>
      <c r="AB66" s="73">
        <f t="shared" si="93"/>
        <v>796.69164388349805</v>
      </c>
      <c r="AC66" s="73">
        <f t="shared" si="93"/>
        <v>791.6556769085937</v>
      </c>
      <c r="AD66" s="73">
        <f t="shared" si="93"/>
        <v>789.00759479674628</v>
      </c>
      <c r="AE66" s="73">
        <f t="shared" si="93"/>
        <v>786.38599350601737</v>
      </c>
      <c r="AF66" s="73">
        <f t="shared" si="93"/>
        <v>783.79060822819588</v>
      </c>
      <c r="AG66" s="73">
        <f t="shared" si="93"/>
        <v>781.22117680315228</v>
      </c>
      <c r="AH66" s="73">
        <f t="shared" si="93"/>
        <v>778.67743969235914</v>
      </c>
      <c r="AI66" s="73">
        <f t="shared" si="93"/>
        <v>776.15913995267408</v>
      </c>
      <c r="AJ66" s="73">
        <f t="shared" si="93"/>
        <v>773.6660232103859</v>
      </c>
      <c r="AK66" s="73">
        <f t="shared" si="93"/>
        <v>771.19783763552061</v>
      </c>
      <c r="AL66" s="73">
        <f t="shared" si="93"/>
        <v>768.75433391640388</v>
      </c>
      <c r="AM66" s="73">
        <f t="shared" si="93"/>
        <v>766.33526523447824</v>
      </c>
      <c r="AN66" s="73">
        <f t="shared" si="93"/>
        <v>763.94038723937206</v>
      </c>
      <c r="AO66" s="73">
        <f t="shared" si="93"/>
        <v>761.56945802421671</v>
      </c>
      <c r="AT66" s="48"/>
    </row>
    <row r="67" spans="1:46" s="53" customFormat="1" ht="13.5" x14ac:dyDescent="0.25">
      <c r="A67" s="48"/>
      <c r="B67" s="54"/>
      <c r="C67" s="534"/>
      <c r="D67" s="54"/>
      <c r="E67" s="125"/>
      <c r="F67" s="126"/>
      <c r="G67" s="117"/>
      <c r="H67" s="116"/>
      <c r="I67" s="594">
        <v>2.4552817624191605</v>
      </c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T67" s="48"/>
    </row>
    <row r="68" spans="1:46" s="53" customFormat="1" ht="14.25" thickBot="1" x14ac:dyDescent="0.3">
      <c r="A68" s="48"/>
      <c r="B68" s="54"/>
      <c r="C68" s="54"/>
      <c r="D68" s="54"/>
      <c r="E68" s="54"/>
      <c r="F68" s="126"/>
      <c r="G68" s="129"/>
      <c r="H68" s="128"/>
      <c r="I68" s="595">
        <v>1.5905375323811158E-2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T68" s="48"/>
    </row>
    <row r="69" spans="1:46" s="53" customFormat="1" ht="15.75" thickBot="1" x14ac:dyDescent="0.3">
      <c r="A69" s="48"/>
      <c r="B69" s="107"/>
      <c r="C69" s="106" t="s">
        <v>202</v>
      </c>
      <c r="D69" s="54"/>
      <c r="E69" s="127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T69" s="48"/>
    </row>
    <row r="70" spans="1:46" s="53" customFormat="1" ht="15.75" customHeight="1" x14ac:dyDescent="0.25">
      <c r="A70" s="48"/>
      <c r="B70" s="107">
        <f>B64+1</f>
        <v>40</v>
      </c>
      <c r="C70" s="111" t="s">
        <v>201</v>
      </c>
      <c r="D70" s="109"/>
      <c r="E70" s="130" t="s">
        <v>188</v>
      </c>
      <c r="F70" s="109"/>
      <c r="G70" s="526">
        <f>622/'1.Input'!K61*'1.Input'!K63/1000</f>
        <v>2.2391999999999999</v>
      </c>
      <c r="H70" s="60">
        <f>G70</f>
        <v>2.2391999999999999</v>
      </c>
      <c r="I70" s="60">
        <v>2.2000000000000002</v>
      </c>
      <c r="J70" s="60">
        <f t="shared" ref="J70:AO70" si="94">I70</f>
        <v>2.2000000000000002</v>
      </c>
      <c r="K70" s="60">
        <f t="shared" si="94"/>
        <v>2.2000000000000002</v>
      </c>
      <c r="L70" s="60">
        <f t="shared" si="94"/>
        <v>2.2000000000000002</v>
      </c>
      <c r="M70" s="60">
        <f t="shared" si="94"/>
        <v>2.2000000000000002</v>
      </c>
      <c r="N70" s="60">
        <f t="shared" si="94"/>
        <v>2.2000000000000002</v>
      </c>
      <c r="O70" s="60">
        <f t="shared" si="94"/>
        <v>2.2000000000000002</v>
      </c>
      <c r="P70" s="60">
        <f t="shared" si="94"/>
        <v>2.2000000000000002</v>
      </c>
      <c r="Q70" s="60">
        <f t="shared" si="94"/>
        <v>2.2000000000000002</v>
      </c>
      <c r="R70" s="60">
        <f t="shared" si="94"/>
        <v>2.2000000000000002</v>
      </c>
      <c r="S70" s="60">
        <f t="shared" si="94"/>
        <v>2.2000000000000002</v>
      </c>
      <c r="T70" s="60">
        <f t="shared" si="94"/>
        <v>2.2000000000000002</v>
      </c>
      <c r="U70" s="60">
        <f t="shared" si="94"/>
        <v>2.2000000000000002</v>
      </c>
      <c r="V70" s="60">
        <f t="shared" si="94"/>
        <v>2.2000000000000002</v>
      </c>
      <c r="W70" s="60">
        <f t="shared" si="94"/>
        <v>2.2000000000000002</v>
      </c>
      <c r="X70" s="60">
        <f t="shared" si="94"/>
        <v>2.2000000000000002</v>
      </c>
      <c r="Y70" s="60">
        <f t="shared" si="94"/>
        <v>2.2000000000000002</v>
      </c>
      <c r="Z70" s="60">
        <f t="shared" si="94"/>
        <v>2.2000000000000002</v>
      </c>
      <c r="AA70" s="60">
        <f t="shared" si="94"/>
        <v>2.2000000000000002</v>
      </c>
      <c r="AB70" s="60">
        <f t="shared" si="94"/>
        <v>2.2000000000000002</v>
      </c>
      <c r="AC70" s="60">
        <f t="shared" si="94"/>
        <v>2.2000000000000002</v>
      </c>
      <c r="AD70" s="60">
        <f t="shared" si="94"/>
        <v>2.2000000000000002</v>
      </c>
      <c r="AE70" s="60">
        <f t="shared" si="94"/>
        <v>2.2000000000000002</v>
      </c>
      <c r="AF70" s="60">
        <f t="shared" si="94"/>
        <v>2.2000000000000002</v>
      </c>
      <c r="AG70" s="60">
        <f t="shared" si="94"/>
        <v>2.2000000000000002</v>
      </c>
      <c r="AH70" s="60">
        <f t="shared" si="94"/>
        <v>2.2000000000000002</v>
      </c>
      <c r="AI70" s="60">
        <f t="shared" si="94"/>
        <v>2.2000000000000002</v>
      </c>
      <c r="AJ70" s="60">
        <f t="shared" si="94"/>
        <v>2.2000000000000002</v>
      </c>
      <c r="AK70" s="60">
        <f t="shared" si="94"/>
        <v>2.2000000000000002</v>
      </c>
      <c r="AL70" s="60">
        <f t="shared" si="94"/>
        <v>2.2000000000000002</v>
      </c>
      <c r="AM70" s="60">
        <f t="shared" si="94"/>
        <v>2.2000000000000002</v>
      </c>
      <c r="AN70" s="60">
        <f t="shared" si="94"/>
        <v>2.2000000000000002</v>
      </c>
      <c r="AO70" s="60">
        <f t="shared" si="94"/>
        <v>2.2000000000000002</v>
      </c>
      <c r="AT70" s="48"/>
    </row>
    <row r="71" spans="1:46" s="53" customFormat="1" ht="18" customHeight="1" x14ac:dyDescent="0.25">
      <c r="A71" s="48"/>
      <c r="B71" s="107">
        <f t="shared" si="89"/>
        <v>41</v>
      </c>
      <c r="C71" s="111" t="s">
        <v>203</v>
      </c>
      <c r="D71" s="109"/>
      <c r="E71" s="130" t="s">
        <v>188</v>
      </c>
      <c r="F71" s="109"/>
      <c r="G71" s="73">
        <v>0</v>
      </c>
      <c r="H71" s="73">
        <v>0</v>
      </c>
      <c r="I71" s="86">
        <f>I70/0.9</f>
        <v>2.4444444444444446</v>
      </c>
      <c r="J71" s="86">
        <f t="shared" ref="J71:AO71" si="95">J70/0.9</f>
        <v>2.4444444444444446</v>
      </c>
      <c r="K71" s="86">
        <f t="shared" si="95"/>
        <v>2.4444444444444446</v>
      </c>
      <c r="L71" s="86">
        <f t="shared" si="95"/>
        <v>2.4444444444444446</v>
      </c>
      <c r="M71" s="86">
        <f t="shared" si="95"/>
        <v>2.4444444444444446</v>
      </c>
      <c r="N71" s="86">
        <f t="shared" si="95"/>
        <v>2.4444444444444446</v>
      </c>
      <c r="O71" s="86">
        <f t="shared" si="95"/>
        <v>2.4444444444444446</v>
      </c>
      <c r="P71" s="86">
        <f t="shared" si="95"/>
        <v>2.4444444444444446</v>
      </c>
      <c r="Q71" s="86">
        <f t="shared" si="95"/>
        <v>2.4444444444444446</v>
      </c>
      <c r="R71" s="86">
        <f t="shared" si="95"/>
        <v>2.4444444444444446</v>
      </c>
      <c r="S71" s="86">
        <f t="shared" si="95"/>
        <v>2.4444444444444446</v>
      </c>
      <c r="T71" s="86">
        <f t="shared" si="95"/>
        <v>2.4444444444444446</v>
      </c>
      <c r="U71" s="86">
        <f t="shared" si="95"/>
        <v>2.4444444444444446</v>
      </c>
      <c r="V71" s="86">
        <f t="shared" si="95"/>
        <v>2.4444444444444446</v>
      </c>
      <c r="W71" s="86">
        <f t="shared" si="95"/>
        <v>2.4444444444444446</v>
      </c>
      <c r="X71" s="86">
        <f t="shared" si="95"/>
        <v>2.4444444444444446</v>
      </c>
      <c r="Y71" s="86">
        <f t="shared" si="95"/>
        <v>2.4444444444444446</v>
      </c>
      <c r="Z71" s="86">
        <f t="shared" si="95"/>
        <v>2.4444444444444446</v>
      </c>
      <c r="AA71" s="86">
        <f t="shared" si="95"/>
        <v>2.4444444444444446</v>
      </c>
      <c r="AB71" s="86">
        <f t="shared" si="95"/>
        <v>2.4444444444444446</v>
      </c>
      <c r="AC71" s="86">
        <f t="shared" si="95"/>
        <v>2.4444444444444446</v>
      </c>
      <c r="AD71" s="86">
        <f t="shared" si="95"/>
        <v>2.4444444444444446</v>
      </c>
      <c r="AE71" s="86">
        <f t="shared" si="95"/>
        <v>2.4444444444444446</v>
      </c>
      <c r="AF71" s="86">
        <f t="shared" si="95"/>
        <v>2.4444444444444446</v>
      </c>
      <c r="AG71" s="86">
        <f t="shared" si="95"/>
        <v>2.4444444444444446</v>
      </c>
      <c r="AH71" s="86">
        <f t="shared" si="95"/>
        <v>2.4444444444444446</v>
      </c>
      <c r="AI71" s="86">
        <f t="shared" si="95"/>
        <v>2.4444444444444446</v>
      </c>
      <c r="AJ71" s="86">
        <f t="shared" si="95"/>
        <v>2.4444444444444446</v>
      </c>
      <c r="AK71" s="86">
        <f t="shared" si="95"/>
        <v>2.4444444444444446</v>
      </c>
      <c r="AL71" s="86">
        <f t="shared" si="95"/>
        <v>2.4444444444444446</v>
      </c>
      <c r="AM71" s="86">
        <f t="shared" si="95"/>
        <v>2.4444444444444446</v>
      </c>
      <c r="AN71" s="86">
        <f t="shared" si="95"/>
        <v>2.4444444444444446</v>
      </c>
      <c r="AO71" s="86">
        <f t="shared" si="95"/>
        <v>2.4444444444444446</v>
      </c>
      <c r="AT71" s="48"/>
    </row>
    <row r="72" spans="1:46" s="53" customFormat="1" ht="14.25" customHeight="1" x14ac:dyDescent="0.25">
      <c r="A72" s="48"/>
      <c r="B72" s="629">
        <f>B71+1</f>
        <v>42</v>
      </c>
      <c r="C72" s="636" t="s">
        <v>216</v>
      </c>
      <c r="D72" s="131"/>
      <c r="E72" s="130" t="s">
        <v>188</v>
      </c>
      <c r="F72" s="109"/>
      <c r="G72" s="73">
        <f t="shared" ref="G72:AC72" si="96">G71-G74</f>
        <v>0</v>
      </c>
      <c r="H72" s="73">
        <f t="shared" si="96"/>
        <v>0</v>
      </c>
      <c r="I72" s="86">
        <f t="shared" si="96"/>
        <v>2.4444444444444446</v>
      </c>
      <c r="J72" s="73">
        <f t="shared" si="96"/>
        <v>2.4444444444444446</v>
      </c>
      <c r="K72" s="73">
        <f t="shared" si="96"/>
        <v>2.4444444444444446</v>
      </c>
      <c r="L72" s="73">
        <f t="shared" si="96"/>
        <v>2.4444444444444446</v>
      </c>
      <c r="M72" s="73">
        <f t="shared" si="96"/>
        <v>2.4444444444444446</v>
      </c>
      <c r="N72" s="73">
        <f t="shared" si="96"/>
        <v>2.4444444444444446</v>
      </c>
      <c r="O72" s="73">
        <f t="shared" si="96"/>
        <v>2.4444444444444446</v>
      </c>
      <c r="P72" s="73">
        <f t="shared" si="96"/>
        <v>2.4444444444444446</v>
      </c>
      <c r="Q72" s="73">
        <f t="shared" si="96"/>
        <v>2.4444444444444446</v>
      </c>
      <c r="R72" s="73">
        <f t="shared" si="96"/>
        <v>2.4444444444444446</v>
      </c>
      <c r="S72" s="73">
        <f t="shared" si="96"/>
        <v>2.4444444444444446</v>
      </c>
      <c r="T72" s="73">
        <f t="shared" si="96"/>
        <v>2.4444444444444446</v>
      </c>
      <c r="U72" s="73">
        <f t="shared" si="96"/>
        <v>2.4444444444444446</v>
      </c>
      <c r="V72" s="73">
        <f t="shared" si="96"/>
        <v>2.4444444444444446</v>
      </c>
      <c r="W72" s="73">
        <f t="shared" si="96"/>
        <v>2.4444444444444446</v>
      </c>
      <c r="X72" s="73">
        <f t="shared" si="96"/>
        <v>2.4444444444444446</v>
      </c>
      <c r="Y72" s="73">
        <f t="shared" si="96"/>
        <v>2.4444444444444446</v>
      </c>
      <c r="Z72" s="73">
        <f t="shared" si="96"/>
        <v>2.4444444444444446</v>
      </c>
      <c r="AA72" s="73">
        <f t="shared" si="96"/>
        <v>2.4444444444444446</v>
      </c>
      <c r="AB72" s="73">
        <f t="shared" si="96"/>
        <v>2.4444444444444446</v>
      </c>
      <c r="AC72" s="73">
        <f t="shared" si="96"/>
        <v>2.4444444444444446</v>
      </c>
      <c r="AD72" s="73">
        <f t="shared" ref="AD72:AO72" si="97">AD71-AD74</f>
        <v>2.4444444444444446</v>
      </c>
      <c r="AE72" s="73">
        <f t="shared" si="97"/>
        <v>2.4444444444444446</v>
      </c>
      <c r="AF72" s="73">
        <f t="shared" si="97"/>
        <v>2.4444444444444446</v>
      </c>
      <c r="AG72" s="73">
        <f t="shared" si="97"/>
        <v>2.4444444444444446</v>
      </c>
      <c r="AH72" s="73">
        <f t="shared" si="97"/>
        <v>2.4444444444444446</v>
      </c>
      <c r="AI72" s="73">
        <f t="shared" si="97"/>
        <v>2.4444444444444446</v>
      </c>
      <c r="AJ72" s="73">
        <f t="shared" si="97"/>
        <v>2.4444444444444446</v>
      </c>
      <c r="AK72" s="73">
        <f t="shared" si="97"/>
        <v>2.4444444444444446</v>
      </c>
      <c r="AL72" s="73">
        <f t="shared" si="97"/>
        <v>2.4444444444444446</v>
      </c>
      <c r="AM72" s="73">
        <f t="shared" si="97"/>
        <v>2.4444444444444446</v>
      </c>
      <c r="AN72" s="73">
        <f t="shared" si="97"/>
        <v>2.4444444444444446</v>
      </c>
      <c r="AO72" s="73">
        <f t="shared" si="97"/>
        <v>2.4444444444444446</v>
      </c>
      <c r="AT72" s="48"/>
    </row>
    <row r="73" spans="1:46" s="53" customFormat="1" ht="13.5" x14ac:dyDescent="0.25">
      <c r="A73" s="48"/>
      <c r="B73" s="629"/>
      <c r="C73" s="637"/>
      <c r="D73" s="109"/>
      <c r="E73" s="130" t="s">
        <v>197</v>
      </c>
      <c r="F73" s="109"/>
      <c r="G73" s="73">
        <f>G72*1000/4.1868/8.5</f>
        <v>0</v>
      </c>
      <c r="H73" s="73">
        <f t="shared" ref="H73" si="98">H72*1000/4.1868/8.5</f>
        <v>0</v>
      </c>
      <c r="I73" s="86">
        <f>I72*1000/'1.Input'!$K$63/8.24</f>
        <v>70.855039452601289</v>
      </c>
      <c r="J73" s="86">
        <f>J72*1000/'1.Input'!$K$63/8.24</f>
        <v>70.855039452601289</v>
      </c>
      <c r="K73" s="86">
        <f>K72*1000/'1.Input'!$K$63/8.24</f>
        <v>70.855039452601289</v>
      </c>
      <c r="L73" s="86">
        <f>L72*1000/'1.Input'!$K$63/8.24</f>
        <v>70.855039452601289</v>
      </c>
      <c r="M73" s="86">
        <f>M72*1000/'1.Input'!$K$63/8.24</f>
        <v>70.855039452601289</v>
      </c>
      <c r="N73" s="86">
        <f>N72*1000/'1.Input'!$K$63/8.24</f>
        <v>70.855039452601289</v>
      </c>
      <c r="O73" s="86">
        <f>O72*1000/'1.Input'!$K$63/8.24</f>
        <v>70.855039452601289</v>
      </c>
      <c r="P73" s="86">
        <f>P72*1000/'1.Input'!$K$63/8.24</f>
        <v>70.855039452601289</v>
      </c>
      <c r="Q73" s="86">
        <f>Q72*1000/'1.Input'!$K$63/8.24</f>
        <v>70.855039452601289</v>
      </c>
      <c r="R73" s="86">
        <f>R72*1000/'1.Input'!$K$63/8.24</f>
        <v>70.855039452601289</v>
      </c>
      <c r="S73" s="86">
        <f>S72*1000/'1.Input'!$K$63/8.24</f>
        <v>70.855039452601289</v>
      </c>
      <c r="T73" s="86">
        <f>T72*1000/'1.Input'!$K$63/8.24</f>
        <v>70.855039452601289</v>
      </c>
      <c r="U73" s="86">
        <f>U72*1000/'1.Input'!$K$63/8.24</f>
        <v>70.855039452601289</v>
      </c>
      <c r="V73" s="86">
        <f>V72*1000/'1.Input'!$K$63/8.24</f>
        <v>70.855039452601289</v>
      </c>
      <c r="W73" s="86">
        <f>W72*1000/'1.Input'!$K$63/8.24</f>
        <v>70.855039452601289</v>
      </c>
      <c r="X73" s="86">
        <f>X72*1000/'1.Input'!$K$63/8.24</f>
        <v>70.855039452601289</v>
      </c>
      <c r="Y73" s="86">
        <f>Y72*1000/'1.Input'!$K$63/8.24</f>
        <v>70.855039452601289</v>
      </c>
      <c r="Z73" s="86">
        <f>Z72*1000/'1.Input'!$K$63/8.24</f>
        <v>70.855039452601289</v>
      </c>
      <c r="AA73" s="86">
        <f>AA72*1000/'1.Input'!$K$63/8.24</f>
        <v>70.855039452601289</v>
      </c>
      <c r="AB73" s="86">
        <f>AB72*1000/'1.Input'!$K$63/8.24</f>
        <v>70.855039452601289</v>
      </c>
      <c r="AC73" s="86">
        <f>AC72*1000/'1.Input'!$K$63/8.24</f>
        <v>70.855039452601289</v>
      </c>
      <c r="AD73" s="86">
        <f>AD72*1000/'1.Input'!$K$63/8.24</f>
        <v>70.855039452601289</v>
      </c>
      <c r="AE73" s="86">
        <f>AE72*1000/'1.Input'!$K$63/8.24</f>
        <v>70.855039452601289</v>
      </c>
      <c r="AF73" s="86">
        <f>AF72*1000/'1.Input'!$K$63/8.24</f>
        <v>70.855039452601289</v>
      </c>
      <c r="AG73" s="86">
        <f>AG72*1000/'1.Input'!$K$63/8.24</f>
        <v>70.855039452601289</v>
      </c>
      <c r="AH73" s="86">
        <f>AH72*1000/'1.Input'!$K$63/8.24</f>
        <v>70.855039452601289</v>
      </c>
      <c r="AI73" s="86">
        <f>AI72*1000/'1.Input'!$K$63/8.24</f>
        <v>70.855039452601289</v>
      </c>
      <c r="AJ73" s="86">
        <f>AJ72*1000/'1.Input'!$K$63/8.24</f>
        <v>70.855039452601289</v>
      </c>
      <c r="AK73" s="86">
        <f>AK72*1000/'1.Input'!$K$63/8.24</f>
        <v>70.855039452601289</v>
      </c>
      <c r="AL73" s="86">
        <f>AL72*1000/'1.Input'!$K$63/8.24</f>
        <v>70.855039452601289</v>
      </c>
      <c r="AM73" s="86">
        <f>AM72*1000/'1.Input'!$K$63/8.24</f>
        <v>70.855039452601289</v>
      </c>
      <c r="AN73" s="86">
        <f>AN72*1000/'1.Input'!$K$63/8.24</f>
        <v>70.855039452601289</v>
      </c>
      <c r="AO73" s="86">
        <f>AO72*1000/'1.Input'!$K$63/8.24</f>
        <v>70.855039452601289</v>
      </c>
      <c r="AT73" s="48"/>
    </row>
    <row r="74" spans="1:46" s="53" customFormat="1" ht="17.25" customHeight="1" x14ac:dyDescent="0.25">
      <c r="A74" s="48"/>
      <c r="B74" s="629">
        <f>B72+1</f>
        <v>43</v>
      </c>
      <c r="C74" s="636" t="s">
        <v>569</v>
      </c>
      <c r="D74" s="131"/>
      <c r="E74" s="130" t="s">
        <v>196</v>
      </c>
      <c r="F74" s="109"/>
      <c r="G74" s="73">
        <v>0</v>
      </c>
      <c r="H74" s="73">
        <v>0</v>
      </c>
      <c r="I74" s="86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3">
        <v>0</v>
      </c>
      <c r="AT74" s="48"/>
    </row>
    <row r="75" spans="1:46" s="53" customFormat="1" ht="13.5" x14ac:dyDescent="0.25">
      <c r="A75" s="48"/>
      <c r="B75" s="629"/>
      <c r="C75" s="637"/>
      <c r="D75" s="109"/>
      <c r="E75" s="130" t="s">
        <v>198</v>
      </c>
      <c r="F75" s="109"/>
      <c r="G75" s="73">
        <v>0</v>
      </c>
      <c r="H75" s="73">
        <v>0</v>
      </c>
      <c r="I75" s="86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 s="73">
        <v>0</v>
      </c>
      <c r="AL75" s="73">
        <v>0</v>
      </c>
      <c r="AM75" s="73">
        <v>0</v>
      </c>
      <c r="AN75" s="73">
        <v>0</v>
      </c>
      <c r="AO75" s="73">
        <v>0</v>
      </c>
      <c r="AT75" s="48"/>
    </row>
    <row r="76" spans="1:46" s="53" customFormat="1" ht="13.5" x14ac:dyDescent="0.25">
      <c r="A76" s="48"/>
      <c r="B76" s="54"/>
      <c r="C76" s="126"/>
      <c r="D76" s="126"/>
      <c r="E76" s="126"/>
      <c r="F76" s="126"/>
      <c r="G76" s="104"/>
      <c r="H76" s="104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T76" s="48"/>
    </row>
    <row r="77" spans="1:46" s="53" customFormat="1" ht="13.5" x14ac:dyDescent="0.25">
      <c r="A77" s="48"/>
      <c r="B77" s="48"/>
      <c r="C77" s="48"/>
      <c r="D77" s="48"/>
      <c r="E77" s="48"/>
      <c r="F77" s="48"/>
      <c r="G77" s="48"/>
      <c r="H77" s="48"/>
      <c r="I77" s="5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</row>
    <row r="78" spans="1:46" s="53" customFormat="1" ht="17.25" thickBot="1" x14ac:dyDescent="0.3">
      <c r="A78" s="48"/>
      <c r="B78" s="48"/>
      <c r="C78" s="615" t="s">
        <v>208</v>
      </c>
      <c r="D78" s="616"/>
      <c r="E78" s="616"/>
      <c r="F78" s="616"/>
      <c r="G78" s="616"/>
      <c r="H78" s="617"/>
      <c r="I78" s="52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</row>
    <row r="79" spans="1:46" s="53" customFormat="1" x14ac:dyDescent="0.25">
      <c r="A79" s="48"/>
      <c r="B79" s="54"/>
      <c r="C79" s="133"/>
      <c r="D79" s="133"/>
      <c r="E79" s="133"/>
      <c r="F79" s="133"/>
      <c r="G79" s="133"/>
      <c r="H79" s="133"/>
      <c r="I79" s="134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T79" s="48"/>
    </row>
    <row r="80" spans="1:46" s="53" customFormat="1" ht="22.5" customHeight="1" x14ac:dyDescent="0.25">
      <c r="A80" s="48"/>
      <c r="B80" s="107">
        <f>B74+1</f>
        <v>44</v>
      </c>
      <c r="C80" s="136" t="s">
        <v>590</v>
      </c>
      <c r="D80" s="131"/>
      <c r="E80" s="110" t="s">
        <v>34</v>
      </c>
      <c r="F80" s="88"/>
      <c r="G80" s="73" t="e">
        <f>#REF!*'1.Input'!$K$58</f>
        <v>#REF!</v>
      </c>
      <c r="H80" s="73" t="e">
        <f>#REF!*'1.Input'!$K$58</f>
        <v>#REF!</v>
      </c>
      <c r="I80" s="73">
        <f>I52*'1.Input'!$K$58</f>
        <v>34531.777777777781</v>
      </c>
      <c r="J80" s="73">
        <f>J52*'1.Input'!$K$58</f>
        <v>34531.777777777781</v>
      </c>
      <c r="K80" s="73">
        <f>K52*'1.Input'!$K$58</f>
        <v>34531.777777777781</v>
      </c>
      <c r="L80" s="73">
        <f>L52*'1.Input'!$K$58</f>
        <v>34531.777777777781</v>
      </c>
      <c r="M80" s="73">
        <f>M52*'1.Input'!$K$58</f>
        <v>34531.777777777781</v>
      </c>
      <c r="N80" s="73">
        <f>N52*'1.Input'!$K$58</f>
        <v>34531.777777777781</v>
      </c>
      <c r="O80" s="73">
        <f>O52*'1.Input'!$K$58</f>
        <v>34531.777777777781</v>
      </c>
      <c r="P80" s="73">
        <f>P52*'1.Input'!$K$58</f>
        <v>34531.777777777781</v>
      </c>
      <c r="Q80" s="73">
        <f>Q52*'1.Input'!$K$58</f>
        <v>34531.777777777781</v>
      </c>
      <c r="R80" s="73">
        <f>R52*'1.Input'!$K$58</f>
        <v>34531.777777777781</v>
      </c>
      <c r="S80" s="73">
        <f>S52*'1.Input'!$K$58</f>
        <v>34531.777777777781</v>
      </c>
      <c r="T80" s="73">
        <f>T52*'1.Input'!$K$58</f>
        <v>34531.777777777781</v>
      </c>
      <c r="U80" s="73">
        <f>U52*'1.Input'!$K$58</f>
        <v>34531.777777777781</v>
      </c>
      <c r="V80" s="73">
        <f>V52*'1.Input'!$K$58</f>
        <v>34531.777777777781</v>
      </c>
      <c r="W80" s="73">
        <f>W52*'1.Input'!$K$58</f>
        <v>34531.777777777781</v>
      </c>
      <c r="X80" s="73">
        <f>X52*'1.Input'!$K$58</f>
        <v>34531.777777777781</v>
      </c>
      <c r="Y80" s="73">
        <f>Y52*'1.Input'!$K$58</f>
        <v>34531.777777777781</v>
      </c>
      <c r="Z80" s="73">
        <f>Z52*'1.Input'!$K$58</f>
        <v>34531.777777777781</v>
      </c>
      <c r="AA80" s="73">
        <f>AA52*'1.Input'!$K$58</f>
        <v>34531.777777777781</v>
      </c>
      <c r="AB80" s="73">
        <f>AB52*'1.Input'!$K$58</f>
        <v>34531.777777777781</v>
      </c>
      <c r="AC80" s="73">
        <f>AC52*'1.Input'!$K$58</f>
        <v>34531.777777777781</v>
      </c>
      <c r="AD80" s="73">
        <f>AD52*'1.Input'!$K$58</f>
        <v>34531.777777777781</v>
      </c>
      <c r="AE80" s="73">
        <f>AE52*'1.Input'!$K$58</f>
        <v>34531.777777777781</v>
      </c>
      <c r="AF80" s="73">
        <f>AF52*'1.Input'!$K$58</f>
        <v>34531.777777777781</v>
      </c>
      <c r="AG80" s="73">
        <f>AG52*'1.Input'!$K$58</f>
        <v>34531.777777777781</v>
      </c>
      <c r="AH80" s="73">
        <f>AH52*'1.Input'!$K$58</f>
        <v>34531.777777777781</v>
      </c>
      <c r="AI80" s="73">
        <f>AI52*'1.Input'!$K$58</f>
        <v>34531.777777777781</v>
      </c>
      <c r="AJ80" s="73">
        <f>AJ52*'1.Input'!$K$58</f>
        <v>34531.777777777781</v>
      </c>
      <c r="AK80" s="73">
        <f>AK52*'1.Input'!$K$58</f>
        <v>34531.777777777781</v>
      </c>
      <c r="AL80" s="73">
        <f>AL52*'1.Input'!$K$58</f>
        <v>34531.777777777781</v>
      </c>
      <c r="AM80" s="73">
        <f>AM52*'1.Input'!$K$58</f>
        <v>34531.777777777781</v>
      </c>
      <c r="AN80" s="73">
        <f>AN52*'1.Input'!$K$58</f>
        <v>34531.777777777781</v>
      </c>
      <c r="AO80" s="73">
        <f>AO52*'1.Input'!$K$58</f>
        <v>34531.777777777781</v>
      </c>
      <c r="AT80" s="48"/>
    </row>
    <row r="81" spans="1:46" s="53" customFormat="1" ht="26.25" customHeight="1" x14ac:dyDescent="0.25">
      <c r="A81" s="48"/>
      <c r="B81" s="107">
        <f>B80+1</f>
        <v>45</v>
      </c>
      <c r="C81" s="136" t="s">
        <v>574</v>
      </c>
      <c r="D81" s="131"/>
      <c r="E81" s="110" t="s">
        <v>34</v>
      </c>
      <c r="F81" s="88"/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T81" s="48"/>
    </row>
    <row r="82" spans="1:46" s="80" customFormat="1" ht="21" customHeight="1" x14ac:dyDescent="0.3">
      <c r="A82" s="74"/>
      <c r="B82" s="107">
        <f t="shared" si="89"/>
        <v>46</v>
      </c>
      <c r="C82" s="137" t="s">
        <v>205</v>
      </c>
      <c r="D82" s="138"/>
      <c r="E82" s="110" t="s">
        <v>34</v>
      </c>
      <c r="F82" s="139"/>
      <c r="G82" s="140" t="e">
        <f>G80+#REF!+G81</f>
        <v>#REF!</v>
      </c>
      <c r="H82" s="140" t="e">
        <f>H80+#REF!+H81</f>
        <v>#REF!</v>
      </c>
      <c r="I82" s="141">
        <f>SUM(I80:I81)</f>
        <v>34531.777777777781</v>
      </c>
      <c r="J82" s="141">
        <f t="shared" ref="J82:AO82" si="99">SUM(J80:J81)</f>
        <v>34531.777777777781</v>
      </c>
      <c r="K82" s="141">
        <f t="shared" si="99"/>
        <v>34531.777777777781</v>
      </c>
      <c r="L82" s="141">
        <f t="shared" si="99"/>
        <v>34531.777777777781</v>
      </c>
      <c r="M82" s="141">
        <f t="shared" si="99"/>
        <v>34531.777777777781</v>
      </c>
      <c r="N82" s="141">
        <f t="shared" si="99"/>
        <v>34531.777777777781</v>
      </c>
      <c r="O82" s="141">
        <f t="shared" si="99"/>
        <v>34531.777777777781</v>
      </c>
      <c r="P82" s="141">
        <f t="shared" si="99"/>
        <v>34531.777777777781</v>
      </c>
      <c r="Q82" s="141">
        <f t="shared" si="99"/>
        <v>34531.777777777781</v>
      </c>
      <c r="R82" s="141">
        <f t="shared" si="99"/>
        <v>34531.777777777781</v>
      </c>
      <c r="S82" s="141">
        <f t="shared" si="99"/>
        <v>34531.777777777781</v>
      </c>
      <c r="T82" s="141">
        <f t="shared" si="99"/>
        <v>34531.777777777781</v>
      </c>
      <c r="U82" s="141">
        <f t="shared" si="99"/>
        <v>34531.777777777781</v>
      </c>
      <c r="V82" s="141">
        <f t="shared" si="99"/>
        <v>34531.777777777781</v>
      </c>
      <c r="W82" s="141">
        <f t="shared" si="99"/>
        <v>34531.777777777781</v>
      </c>
      <c r="X82" s="141">
        <f t="shared" si="99"/>
        <v>34531.777777777781</v>
      </c>
      <c r="Y82" s="141">
        <f t="shared" si="99"/>
        <v>34531.777777777781</v>
      </c>
      <c r="Z82" s="141">
        <f t="shared" si="99"/>
        <v>34531.777777777781</v>
      </c>
      <c r="AA82" s="141">
        <f t="shared" si="99"/>
        <v>34531.777777777781</v>
      </c>
      <c r="AB82" s="141">
        <f t="shared" si="99"/>
        <v>34531.777777777781</v>
      </c>
      <c r="AC82" s="141">
        <f t="shared" si="99"/>
        <v>34531.777777777781</v>
      </c>
      <c r="AD82" s="141">
        <f t="shared" si="99"/>
        <v>34531.777777777781</v>
      </c>
      <c r="AE82" s="141">
        <f t="shared" si="99"/>
        <v>34531.777777777781</v>
      </c>
      <c r="AF82" s="141">
        <f t="shared" si="99"/>
        <v>34531.777777777781</v>
      </c>
      <c r="AG82" s="141">
        <f t="shared" si="99"/>
        <v>34531.777777777781</v>
      </c>
      <c r="AH82" s="141">
        <f t="shared" si="99"/>
        <v>34531.777777777781</v>
      </c>
      <c r="AI82" s="141">
        <f t="shared" si="99"/>
        <v>34531.777777777781</v>
      </c>
      <c r="AJ82" s="141">
        <f t="shared" si="99"/>
        <v>34531.777777777781</v>
      </c>
      <c r="AK82" s="141">
        <f t="shared" si="99"/>
        <v>34531.777777777781</v>
      </c>
      <c r="AL82" s="141">
        <f t="shared" si="99"/>
        <v>34531.777777777781</v>
      </c>
      <c r="AM82" s="141">
        <f t="shared" si="99"/>
        <v>34531.777777777781</v>
      </c>
      <c r="AN82" s="141">
        <f t="shared" si="99"/>
        <v>34531.777777777781</v>
      </c>
      <c r="AO82" s="141">
        <f t="shared" si="99"/>
        <v>34531.777777777781</v>
      </c>
      <c r="AT82" s="74"/>
    </row>
    <row r="83" spans="1:46" s="80" customFormat="1" ht="21" customHeight="1" x14ac:dyDescent="0.3">
      <c r="A83" s="74"/>
      <c r="B83" s="107">
        <f t="shared" si="89"/>
        <v>47</v>
      </c>
      <c r="C83" s="137" t="s">
        <v>217</v>
      </c>
      <c r="D83" s="142"/>
      <c r="E83" s="143" t="s">
        <v>121</v>
      </c>
      <c r="F83" s="144"/>
      <c r="G83" s="532">
        <v>9815</v>
      </c>
      <c r="H83" s="532">
        <v>9054.4</v>
      </c>
      <c r="I83" s="532">
        <v>0</v>
      </c>
      <c r="J83" s="532">
        <v>0</v>
      </c>
      <c r="K83" s="532">
        <v>0</v>
      </c>
      <c r="L83" s="532">
        <v>0</v>
      </c>
      <c r="M83" s="532">
        <v>0</v>
      </c>
      <c r="N83" s="532">
        <v>0</v>
      </c>
      <c r="O83" s="532">
        <v>0</v>
      </c>
      <c r="P83" s="532">
        <v>0</v>
      </c>
      <c r="Q83" s="532">
        <v>0</v>
      </c>
      <c r="R83" s="532">
        <v>0</v>
      </c>
      <c r="S83" s="532">
        <v>0</v>
      </c>
      <c r="T83" s="532">
        <v>0</v>
      </c>
      <c r="U83" s="532">
        <v>0</v>
      </c>
      <c r="V83" s="532">
        <v>0</v>
      </c>
      <c r="W83" s="532">
        <v>0</v>
      </c>
      <c r="X83" s="532">
        <v>0</v>
      </c>
      <c r="Y83" s="532">
        <v>0</v>
      </c>
      <c r="Z83" s="532">
        <v>0</v>
      </c>
      <c r="AA83" s="532">
        <v>0</v>
      </c>
      <c r="AB83" s="532">
        <v>0</v>
      </c>
      <c r="AC83" s="532">
        <v>0</v>
      </c>
      <c r="AD83" s="532">
        <v>0</v>
      </c>
      <c r="AE83" s="532">
        <v>0</v>
      </c>
      <c r="AF83" s="532">
        <v>0</v>
      </c>
      <c r="AG83" s="532">
        <v>0</v>
      </c>
      <c r="AH83" s="532">
        <v>0</v>
      </c>
      <c r="AI83" s="532">
        <v>0</v>
      </c>
      <c r="AJ83" s="532">
        <v>0</v>
      </c>
      <c r="AK83" s="532">
        <v>0</v>
      </c>
      <c r="AL83" s="532">
        <v>0</v>
      </c>
      <c r="AM83" s="532">
        <v>0</v>
      </c>
      <c r="AN83" s="532">
        <v>0</v>
      </c>
      <c r="AO83" s="532">
        <v>0</v>
      </c>
      <c r="AT83" s="74"/>
    </row>
    <row r="84" spans="1:46" s="80" customFormat="1" ht="21" customHeight="1" x14ac:dyDescent="0.3">
      <c r="A84" s="74"/>
      <c r="B84" s="107">
        <f t="shared" si="89"/>
        <v>48</v>
      </c>
      <c r="C84" s="137" t="s">
        <v>218</v>
      </c>
      <c r="D84" s="142"/>
      <c r="E84" s="143" t="s">
        <v>121</v>
      </c>
      <c r="F84" s="144"/>
      <c r="G84" s="140" t="e">
        <f>G82-G83</f>
        <v>#REF!</v>
      </c>
      <c r="H84" s="140" t="e">
        <f t="shared" ref="H84:AO84" si="100">H82-H83</f>
        <v>#REF!</v>
      </c>
      <c r="I84" s="140">
        <f t="shared" si="100"/>
        <v>34531.777777777781</v>
      </c>
      <c r="J84" s="140">
        <f t="shared" si="100"/>
        <v>34531.777777777781</v>
      </c>
      <c r="K84" s="140">
        <f t="shared" si="100"/>
        <v>34531.777777777781</v>
      </c>
      <c r="L84" s="140">
        <f t="shared" si="100"/>
        <v>34531.777777777781</v>
      </c>
      <c r="M84" s="140">
        <f t="shared" si="100"/>
        <v>34531.777777777781</v>
      </c>
      <c r="N84" s="140">
        <f t="shared" si="100"/>
        <v>34531.777777777781</v>
      </c>
      <c r="O84" s="140">
        <f t="shared" si="100"/>
        <v>34531.777777777781</v>
      </c>
      <c r="P84" s="140">
        <f t="shared" si="100"/>
        <v>34531.777777777781</v>
      </c>
      <c r="Q84" s="140">
        <f t="shared" si="100"/>
        <v>34531.777777777781</v>
      </c>
      <c r="R84" s="140">
        <f t="shared" si="100"/>
        <v>34531.777777777781</v>
      </c>
      <c r="S84" s="140">
        <f t="shared" si="100"/>
        <v>34531.777777777781</v>
      </c>
      <c r="T84" s="140">
        <f t="shared" si="100"/>
        <v>34531.777777777781</v>
      </c>
      <c r="U84" s="140">
        <f t="shared" si="100"/>
        <v>34531.777777777781</v>
      </c>
      <c r="V84" s="140">
        <f t="shared" si="100"/>
        <v>34531.777777777781</v>
      </c>
      <c r="W84" s="140">
        <f t="shared" si="100"/>
        <v>34531.777777777781</v>
      </c>
      <c r="X84" s="140">
        <f t="shared" si="100"/>
        <v>34531.777777777781</v>
      </c>
      <c r="Y84" s="140">
        <f t="shared" si="100"/>
        <v>34531.777777777781</v>
      </c>
      <c r="Z84" s="140">
        <f t="shared" si="100"/>
        <v>34531.777777777781</v>
      </c>
      <c r="AA84" s="140">
        <f t="shared" si="100"/>
        <v>34531.777777777781</v>
      </c>
      <c r="AB84" s="140">
        <f t="shared" si="100"/>
        <v>34531.777777777781</v>
      </c>
      <c r="AC84" s="140">
        <f t="shared" si="100"/>
        <v>34531.777777777781</v>
      </c>
      <c r="AD84" s="140">
        <f t="shared" si="100"/>
        <v>34531.777777777781</v>
      </c>
      <c r="AE84" s="140">
        <f t="shared" si="100"/>
        <v>34531.777777777781</v>
      </c>
      <c r="AF84" s="140">
        <f t="shared" si="100"/>
        <v>34531.777777777781</v>
      </c>
      <c r="AG84" s="140">
        <f t="shared" si="100"/>
        <v>34531.777777777781</v>
      </c>
      <c r="AH84" s="140">
        <f t="shared" si="100"/>
        <v>34531.777777777781</v>
      </c>
      <c r="AI84" s="140">
        <f t="shared" si="100"/>
        <v>34531.777777777781</v>
      </c>
      <c r="AJ84" s="140">
        <f t="shared" si="100"/>
        <v>34531.777777777781</v>
      </c>
      <c r="AK84" s="140">
        <f t="shared" si="100"/>
        <v>34531.777777777781</v>
      </c>
      <c r="AL84" s="140">
        <f t="shared" si="100"/>
        <v>34531.777777777781</v>
      </c>
      <c r="AM84" s="140">
        <f t="shared" si="100"/>
        <v>34531.777777777781</v>
      </c>
      <c r="AN84" s="140">
        <f t="shared" si="100"/>
        <v>34531.777777777781</v>
      </c>
      <c r="AO84" s="140">
        <f t="shared" si="100"/>
        <v>34531.777777777781</v>
      </c>
      <c r="AT84" s="74"/>
    </row>
    <row r="85" spans="1:46" s="53" customFormat="1" ht="13.5" x14ac:dyDescent="0.25">
      <c r="A85" s="48"/>
      <c r="B85" s="54"/>
      <c r="C85" s="145"/>
      <c r="D85" s="54"/>
      <c r="E85" s="145"/>
      <c r="F85" s="54"/>
      <c r="G85" s="104"/>
      <c r="H85" s="104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T85" s="48"/>
    </row>
    <row r="86" spans="1:46" s="53" customFormat="1" ht="18.75" customHeight="1" x14ac:dyDescent="0.25">
      <c r="A86" s="48"/>
      <c r="B86" s="48"/>
      <c r="C86" s="48"/>
      <c r="D86" s="48"/>
      <c r="E86" s="48"/>
      <c r="F86" s="48"/>
      <c r="G86" s="48"/>
      <c r="H86" s="48"/>
      <c r="I86" s="5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46" s="53" customFormat="1" ht="14.25" thickBot="1" x14ac:dyDescent="0.3">
      <c r="I87" s="146"/>
    </row>
  </sheetData>
  <mergeCells count="25">
    <mergeCell ref="B26:B28"/>
    <mergeCell ref="B24:B25"/>
    <mergeCell ref="C2:E2"/>
    <mergeCell ref="C3:E3"/>
    <mergeCell ref="G2:H2"/>
    <mergeCell ref="J2:AS2"/>
    <mergeCell ref="C6:H6"/>
    <mergeCell ref="C24:C25"/>
    <mergeCell ref="C26:C28"/>
    <mergeCell ref="C37:H37"/>
    <mergeCell ref="C42:C43"/>
    <mergeCell ref="B42:B43"/>
    <mergeCell ref="C62:C63"/>
    <mergeCell ref="C52:C54"/>
    <mergeCell ref="C78:H78"/>
    <mergeCell ref="C55:C56"/>
    <mergeCell ref="C72:C73"/>
    <mergeCell ref="C74:C75"/>
    <mergeCell ref="C64:C66"/>
    <mergeCell ref="B62:B63"/>
    <mergeCell ref="B72:B73"/>
    <mergeCell ref="B74:B75"/>
    <mergeCell ref="B55:B56"/>
    <mergeCell ref="B52:B54"/>
    <mergeCell ref="B64:B66"/>
  </mergeCells>
  <pageMargins left="0.7" right="0.7" top="0.75" bottom="0.75" header="0.3" footer="0.3"/>
  <pageSetup paperSize="9" scale="24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0EB9-846F-4243-936C-DA8E980EFA64}">
  <sheetPr codeName="Foaie6"/>
  <dimension ref="A2:AT86"/>
  <sheetViews>
    <sheetView topLeftCell="P43" zoomScale="93" zoomScaleNormal="93" workbookViewId="0">
      <selection activeCell="AK14" sqref="AK14"/>
    </sheetView>
  </sheetViews>
  <sheetFormatPr defaultColWidth="9.140625" defaultRowHeight="16.5" x14ac:dyDescent="0.3"/>
  <cols>
    <col min="1" max="1" width="4" style="47" customWidth="1"/>
    <col min="2" max="2" width="5.140625" style="47" customWidth="1"/>
    <col min="3" max="3" width="42.140625" style="47" customWidth="1"/>
    <col min="4" max="4" width="5.42578125" style="47" customWidth="1"/>
    <col min="5" max="5" width="11.42578125" style="47" customWidth="1"/>
    <col min="6" max="6" width="5.85546875" style="47" customWidth="1"/>
    <col min="7" max="8" width="10.28515625" style="47" hidden="1" customWidth="1"/>
    <col min="9" max="9" width="11.140625" style="147" customWidth="1"/>
    <col min="10" max="29" width="10.28515625" style="47" bestFit="1" customWidth="1"/>
    <col min="30" max="39" width="10.140625" style="47" bestFit="1" customWidth="1"/>
    <col min="40" max="41" width="10.140625" style="47" hidden="1" customWidth="1"/>
    <col min="42" max="16384" width="9.140625" style="47"/>
  </cols>
  <sheetData>
    <row r="2" spans="1:46" s="38" customFormat="1" ht="22.5" customHeight="1" x14ac:dyDescent="0.3">
      <c r="C2" s="647" t="str">
        <f>'1.Input'!D3</f>
        <v>PRIMARIA MUNICIPIULUI SUCEAVA</v>
      </c>
      <c r="D2" s="647"/>
      <c r="E2" s="647"/>
      <c r="F2" s="47"/>
      <c r="G2" s="622" t="s">
        <v>3</v>
      </c>
      <c r="H2" s="623"/>
      <c r="I2" s="39" t="s">
        <v>17</v>
      </c>
      <c r="J2" s="639" t="s">
        <v>18</v>
      </c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1"/>
      <c r="AT2" s="48"/>
    </row>
    <row r="3" spans="1:46" s="38" customFormat="1" ht="34.5" customHeight="1" x14ac:dyDescent="0.3">
      <c r="C3" s="648" t="str">
        <f>'1.Input'!D4</f>
        <v>Reabilitarea sistemului de transport și distribuție energie termică în municipiul Suceava</v>
      </c>
      <c r="D3" s="648"/>
      <c r="E3" s="648"/>
      <c r="F3" s="47"/>
      <c r="G3" s="40">
        <f>'1.Input'!M4</f>
        <v>2021</v>
      </c>
      <c r="H3" s="40">
        <f>'1.Input'!N4</f>
        <v>2022</v>
      </c>
      <c r="I3" s="49">
        <f>'1.Input'!O4</f>
        <v>2023</v>
      </c>
      <c r="J3" s="40">
        <f>'1.Input'!P4</f>
        <v>2024</v>
      </c>
      <c r="K3" s="40">
        <f>'1.Input'!Q4</f>
        <v>2025</v>
      </c>
      <c r="L3" s="40">
        <f>'1.Input'!R4</f>
        <v>2026</v>
      </c>
      <c r="M3" s="40">
        <f>'1.Input'!S4</f>
        <v>2027</v>
      </c>
      <c r="N3" s="40">
        <f>'1.Input'!T4</f>
        <v>2028</v>
      </c>
      <c r="O3" s="40">
        <f>'1.Input'!U4</f>
        <v>2029</v>
      </c>
      <c r="P3" s="40">
        <f>'1.Input'!V4</f>
        <v>2030</v>
      </c>
      <c r="Q3" s="40">
        <f>'1.Input'!W4</f>
        <v>2031</v>
      </c>
      <c r="R3" s="40">
        <f>'1.Input'!X4</f>
        <v>2032</v>
      </c>
      <c r="S3" s="40">
        <f>'1.Input'!Y4</f>
        <v>2033</v>
      </c>
      <c r="T3" s="40">
        <f>'1.Input'!Z4</f>
        <v>2034</v>
      </c>
      <c r="U3" s="40">
        <f>'1.Input'!AA4</f>
        <v>2035</v>
      </c>
      <c r="V3" s="40">
        <f>'1.Input'!AB4</f>
        <v>2036</v>
      </c>
      <c r="W3" s="40">
        <f>'1.Input'!AC4</f>
        <v>2037</v>
      </c>
      <c r="X3" s="40">
        <f>'1.Input'!AD4</f>
        <v>2038</v>
      </c>
      <c r="Y3" s="40">
        <f>'1.Input'!AE4</f>
        <v>2039</v>
      </c>
      <c r="Z3" s="40">
        <f>'1.Input'!AF4</f>
        <v>2040</v>
      </c>
      <c r="AA3" s="40">
        <f>'1.Input'!AG4</f>
        <v>2041</v>
      </c>
      <c r="AB3" s="40">
        <f>'1.Input'!AH4</f>
        <v>2042</v>
      </c>
      <c r="AC3" s="40">
        <f>'1.Input'!AI4</f>
        <v>2043</v>
      </c>
      <c r="AD3" s="40">
        <f>'1.Input'!AJ4</f>
        <v>2044</v>
      </c>
      <c r="AE3" s="40">
        <f>'1.Input'!AK4</f>
        <v>2045</v>
      </c>
      <c r="AF3" s="40">
        <f>'1.Input'!AL4</f>
        <v>2046</v>
      </c>
      <c r="AG3" s="40">
        <f>'1.Input'!AM4</f>
        <v>2047</v>
      </c>
      <c r="AH3" s="40">
        <f>'1.Input'!AN4</f>
        <v>2048</v>
      </c>
      <c r="AI3" s="40">
        <f>'1.Input'!AO4</f>
        <v>2049</v>
      </c>
      <c r="AJ3" s="40">
        <f>'1.Input'!AP4</f>
        <v>2050</v>
      </c>
      <c r="AK3" s="40">
        <f>'1.Input'!AQ4</f>
        <v>2051</v>
      </c>
      <c r="AL3" s="40">
        <f>'1.Input'!AR4</f>
        <v>2052</v>
      </c>
      <c r="AM3" s="40">
        <f>'1.Input'!AS4</f>
        <v>2053</v>
      </c>
      <c r="AN3" s="40">
        <f>'1.Input'!AT4</f>
        <v>0</v>
      </c>
      <c r="AO3" s="40">
        <f>'1.Input'!AU4</f>
        <v>0</v>
      </c>
      <c r="AP3" s="40">
        <f>'1.Input'!AV4</f>
        <v>0</v>
      </c>
      <c r="AQ3" s="40">
        <f>'1.Input'!AW4</f>
        <v>0</v>
      </c>
      <c r="AR3" s="40">
        <f>'1.Input'!AX4</f>
        <v>0</v>
      </c>
      <c r="AS3" s="40">
        <f>'1.Input'!AY4</f>
        <v>0</v>
      </c>
      <c r="AT3" s="48"/>
    </row>
    <row r="4" spans="1:46" s="38" customFormat="1" ht="21" customHeight="1" x14ac:dyDescent="0.3">
      <c r="C4" s="47"/>
      <c r="D4" s="47"/>
      <c r="E4" s="47"/>
      <c r="F4" s="47"/>
      <c r="G4" s="50"/>
      <c r="H4" s="50"/>
      <c r="I4" s="5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48"/>
    </row>
    <row r="5" spans="1:46" ht="17.25" thickBot="1" x14ac:dyDescent="0.35">
      <c r="A5" s="48"/>
      <c r="B5" s="48"/>
      <c r="C5" s="48"/>
      <c r="D5" s="48"/>
      <c r="E5" s="48"/>
      <c r="F5" s="48"/>
      <c r="G5" s="48"/>
      <c r="H5" s="48"/>
      <c r="I5" s="5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s="53" customFormat="1" ht="17.25" thickBot="1" x14ac:dyDescent="0.3">
      <c r="A6" s="48"/>
      <c r="B6" s="48"/>
      <c r="C6" s="615" t="s">
        <v>526</v>
      </c>
      <c r="D6" s="616"/>
      <c r="E6" s="616"/>
      <c r="F6" s="616"/>
      <c r="G6" s="616"/>
      <c r="H6" s="617"/>
      <c r="I6" s="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s="53" customFormat="1" ht="13.5" x14ac:dyDescent="0.25">
      <c r="A7" s="48"/>
      <c r="B7" s="54"/>
      <c r="C7" s="54"/>
      <c r="D7" s="54"/>
      <c r="E7" s="54"/>
      <c r="F7" s="54"/>
      <c r="G7" s="54"/>
      <c r="H7" s="54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T7" s="48"/>
    </row>
    <row r="8" spans="1:46" s="53" customFormat="1" ht="27" x14ac:dyDescent="0.25">
      <c r="A8" s="48"/>
      <c r="B8" s="56">
        <v>1</v>
      </c>
      <c r="C8" s="57" t="s">
        <v>159</v>
      </c>
      <c r="D8" s="58"/>
      <c r="E8" s="59" t="s">
        <v>160</v>
      </c>
      <c r="F8" s="58"/>
      <c r="G8" s="60">
        <f t="shared" ref="G8:M8" si="0">-G14*F29</f>
        <v>0</v>
      </c>
      <c r="H8" s="60">
        <f t="shared" si="0"/>
        <v>0</v>
      </c>
      <c r="I8" s="61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ref="N8:AC8" si="1">N14*M29</f>
        <v>0</v>
      </c>
      <c r="O8" s="60">
        <f t="shared" si="1"/>
        <v>0</v>
      </c>
      <c r="P8" s="60">
        <f t="shared" si="1"/>
        <v>0</v>
      </c>
      <c r="Q8" s="60">
        <f t="shared" si="1"/>
        <v>0</v>
      </c>
      <c r="R8" s="60">
        <f t="shared" si="1"/>
        <v>0</v>
      </c>
      <c r="S8" s="60">
        <f t="shared" si="1"/>
        <v>0</v>
      </c>
      <c r="T8" s="60">
        <f t="shared" si="1"/>
        <v>0</v>
      </c>
      <c r="U8" s="60">
        <f t="shared" si="1"/>
        <v>0</v>
      </c>
      <c r="V8" s="60">
        <f t="shared" si="1"/>
        <v>0</v>
      </c>
      <c r="W8" s="60">
        <f t="shared" si="1"/>
        <v>0</v>
      </c>
      <c r="X8" s="60">
        <f t="shared" si="1"/>
        <v>0</v>
      </c>
      <c r="Y8" s="60">
        <f t="shared" si="1"/>
        <v>0</v>
      </c>
      <c r="Z8" s="60">
        <f t="shared" si="1"/>
        <v>0</v>
      </c>
      <c r="AA8" s="60">
        <f t="shared" si="1"/>
        <v>0</v>
      </c>
      <c r="AB8" s="60">
        <f t="shared" si="1"/>
        <v>0</v>
      </c>
      <c r="AC8" s="60">
        <f t="shared" si="1"/>
        <v>0</v>
      </c>
      <c r="AD8" s="60">
        <f t="shared" ref="AD8:AO8" si="2">AD14*AC29</f>
        <v>0</v>
      </c>
      <c r="AE8" s="60">
        <f t="shared" si="2"/>
        <v>0</v>
      </c>
      <c r="AF8" s="60">
        <f t="shared" si="2"/>
        <v>0</v>
      </c>
      <c r="AG8" s="60">
        <f t="shared" si="2"/>
        <v>0</v>
      </c>
      <c r="AH8" s="60">
        <f t="shared" si="2"/>
        <v>0</v>
      </c>
      <c r="AI8" s="60">
        <f t="shared" si="2"/>
        <v>0</v>
      </c>
      <c r="AJ8" s="60">
        <f t="shared" si="2"/>
        <v>0</v>
      </c>
      <c r="AK8" s="60">
        <f t="shared" si="2"/>
        <v>0</v>
      </c>
      <c r="AL8" s="60">
        <f t="shared" si="2"/>
        <v>0</v>
      </c>
      <c r="AM8" s="60">
        <f t="shared" si="2"/>
        <v>0</v>
      </c>
      <c r="AN8" s="60">
        <f t="shared" si="2"/>
        <v>0</v>
      </c>
      <c r="AO8" s="60">
        <f t="shared" si="2"/>
        <v>0</v>
      </c>
      <c r="AT8" s="48"/>
    </row>
    <row r="9" spans="1:46" s="53" customFormat="1" ht="27" x14ac:dyDescent="0.25">
      <c r="A9" s="48"/>
      <c r="B9" s="56">
        <f>B8+1</f>
        <v>2</v>
      </c>
      <c r="C9" s="57" t="s">
        <v>161</v>
      </c>
      <c r="D9" s="58"/>
      <c r="E9" s="59" t="s">
        <v>160</v>
      </c>
      <c r="F9" s="58"/>
      <c r="G9" s="60">
        <f t="shared" ref="G9:R9" si="3">-(G12*F26)</f>
        <v>0</v>
      </c>
      <c r="H9" s="60">
        <f t="shared" si="3"/>
        <v>-6.3022355302021529</v>
      </c>
      <c r="I9" s="61">
        <f t="shared" si="3"/>
        <v>-5.6547828107545124</v>
      </c>
      <c r="J9" s="60">
        <f t="shared" si="3"/>
        <v>-5.4801508663892049</v>
      </c>
      <c r="K9" s="60">
        <f t="shared" si="3"/>
        <v>-5.3110645175386209</v>
      </c>
      <c r="L9" s="60">
        <f t="shared" si="3"/>
        <v>-4.0091579195060714</v>
      </c>
      <c r="M9" s="60">
        <f t="shared" si="3"/>
        <v>-3.1278523420824849</v>
      </c>
      <c r="N9" s="60">
        <f t="shared" si="3"/>
        <v>-3.0033596274442536</v>
      </c>
      <c r="O9" s="60">
        <f t="shared" si="3"/>
        <v>-0.7132975057564469</v>
      </c>
      <c r="P9" s="60">
        <f t="shared" si="3"/>
        <v>-0.69211336240920318</v>
      </c>
      <c r="Q9" s="60">
        <f t="shared" si="3"/>
        <v>-0.67135443340466139</v>
      </c>
      <c r="R9" s="60">
        <f t="shared" si="3"/>
        <v>-0.65101266987865447</v>
      </c>
      <c r="S9" s="60">
        <f t="shared" ref="S9:AC9" si="4">-(S12*R26)</f>
        <v>-0.63108017360906576</v>
      </c>
      <c r="T9" s="60">
        <f t="shared" si="4"/>
        <v>-0.61154919420233578</v>
      </c>
      <c r="U9" s="60">
        <f t="shared" si="4"/>
        <v>-0.5924121263332347</v>
      </c>
      <c r="V9" s="60">
        <f t="shared" si="4"/>
        <v>-0.57366150703601415</v>
      </c>
      <c r="W9" s="60">
        <f t="shared" si="4"/>
        <v>-0.555290013045736</v>
      </c>
      <c r="X9" s="60">
        <f t="shared" si="4"/>
        <v>-0.53729045818967081</v>
      </c>
      <c r="Y9" s="60">
        <f t="shared" si="4"/>
        <v>-0.51965579082719837</v>
      </c>
      <c r="Z9" s="60">
        <f t="shared" si="4"/>
        <v>-0.50237909133752345</v>
      </c>
      <c r="AA9" s="60">
        <f t="shared" si="4"/>
        <v>-0.48545356965421016</v>
      </c>
      <c r="AB9" s="60">
        <f t="shared" si="4"/>
        <v>-0.4688725628458128</v>
      </c>
      <c r="AC9" s="60">
        <f t="shared" si="4"/>
        <v>-0.45262953274158751</v>
      </c>
      <c r="AD9" s="60">
        <f t="shared" ref="AD9" si="5">-(AD12*AC26)</f>
        <v>-0.43671806360177967</v>
      </c>
      <c r="AE9" s="60">
        <f t="shared" ref="AE9" si="6">-(AE12*AD26)</f>
        <v>-0.42484929112835729</v>
      </c>
      <c r="AF9" s="60">
        <f t="shared" ref="AF9" si="7">-(AF12*AE26)</f>
        <v>-0.41306169842040508</v>
      </c>
      <c r="AG9" s="60">
        <f t="shared" ref="AG9" si="8">-(AG12*AF26)</f>
        <v>-0.40135428614058977</v>
      </c>
      <c r="AH9" s="60">
        <f t="shared" ref="AH9" si="9">-(AH12*AG26)</f>
        <v>-0.38972606400711673</v>
      </c>
      <c r="AI9" s="60">
        <f t="shared" ref="AI9" si="10">-(AI12*AH26)</f>
        <v>-0.37817605069858512</v>
      </c>
      <c r="AJ9" s="60">
        <f t="shared" ref="AJ9" si="11">-(AJ12*AI26)</f>
        <v>-0.36670327375981782</v>
      </c>
      <c r="AK9" s="60">
        <f t="shared" ref="AK9" si="12">-(AK12*AJ26)</f>
        <v>-0.35530676950828749</v>
      </c>
      <c r="AL9" s="60">
        <f t="shared" ref="AL9" si="13">-(AL12*AK26)</f>
        <v>-0.34398558294165343</v>
      </c>
      <c r="AM9" s="60">
        <f t="shared" ref="AM9" si="14">-(AM12*AL26)</f>
        <v>-0.33273876764635485</v>
      </c>
      <c r="AN9" s="60">
        <v>0</v>
      </c>
      <c r="AO9" s="60">
        <v>0</v>
      </c>
      <c r="AT9" s="48"/>
    </row>
    <row r="10" spans="1:46" s="53" customFormat="1" ht="27" x14ac:dyDescent="0.25">
      <c r="A10" s="48"/>
      <c r="B10" s="56">
        <f t="shared" ref="B10:B23" si="15">B9+1</f>
        <v>3</v>
      </c>
      <c r="C10" s="57" t="s">
        <v>162</v>
      </c>
      <c r="D10" s="58"/>
      <c r="E10" s="59" t="s">
        <v>163</v>
      </c>
      <c r="F10" s="58"/>
      <c r="G10" s="60">
        <f t="shared" ref="G10:AC10" si="16">-G16*0.035*F26*0.25</f>
        <v>0</v>
      </c>
      <c r="H10" s="60">
        <f t="shared" si="16"/>
        <v>-2.5713659166107314</v>
      </c>
      <c r="I10" s="61">
        <f t="shared" si="16"/>
        <v>-2.3104785059058983</v>
      </c>
      <c r="J10" s="60">
        <f t="shared" si="16"/>
        <v>-2.2423104988983162</v>
      </c>
      <c r="K10" s="60">
        <f t="shared" si="16"/>
        <v>-2.1762184675044929</v>
      </c>
      <c r="L10" s="60">
        <f t="shared" si="16"/>
        <v>-2.1220964241181504</v>
      </c>
      <c r="M10" s="60">
        <f t="shared" si="16"/>
        <v>-2.0761593724138949</v>
      </c>
      <c r="N10" s="60">
        <f t="shared" si="16"/>
        <v>-2.0317135811651359</v>
      </c>
      <c r="O10" s="60">
        <f t="shared" si="16"/>
        <v>-2.0076947341545721</v>
      </c>
      <c r="P10" s="60">
        <f t="shared" si="16"/>
        <v>-1.9840714133096389</v>
      </c>
      <c r="Q10" s="60">
        <f t="shared" si="16"/>
        <v>-1.9608364371508888</v>
      </c>
      <c r="R10" s="60">
        <f t="shared" si="16"/>
        <v>-1.9379827574643804</v>
      </c>
      <c r="S10" s="60">
        <f t="shared" si="16"/>
        <v>-1.9155034568174876</v>
      </c>
      <c r="T10" s="60">
        <f t="shared" si="16"/>
        <v>-1.8933917461210643</v>
      </c>
      <c r="U10" s="60">
        <f t="shared" si="16"/>
        <v>-1.8716409622370893</v>
      </c>
      <c r="V10" s="60">
        <f t="shared" si="16"/>
        <v>-1.8502445656309496</v>
      </c>
      <c r="W10" s="60">
        <f t="shared" si="16"/>
        <v>-1.8291961380675283</v>
      </c>
      <c r="X10" s="60">
        <f t="shared" si="16"/>
        <v>-1.8084893803502782</v>
      </c>
      <c r="Y10" s="60">
        <f t="shared" si="16"/>
        <v>-1.7881181101024752</v>
      </c>
      <c r="Z10" s="60">
        <f t="shared" si="16"/>
        <v>-1.7680762595898754</v>
      </c>
      <c r="AA10" s="60">
        <f t="shared" si="16"/>
        <v>-1.7483578735839895</v>
      </c>
      <c r="AB10" s="60">
        <f t="shared" si="16"/>
        <v>-1.7289571072652288</v>
      </c>
      <c r="AC10" s="60">
        <f t="shared" si="16"/>
        <v>-1.7098682241651688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f t="shared" ref="AD10:AO10" si="17">-AN16*0.035*AM26*0.25</f>
        <v>-1.6584702564100771</v>
      </c>
      <c r="AO10" s="60">
        <f t="shared" si="17"/>
        <v>-1.6440749354694555</v>
      </c>
      <c r="AT10" s="48"/>
    </row>
    <row r="11" spans="1:46" s="53" customFormat="1" ht="27" x14ac:dyDescent="0.25">
      <c r="A11" s="48"/>
      <c r="B11" s="56">
        <f t="shared" si="15"/>
        <v>4</v>
      </c>
      <c r="C11" s="57" t="s">
        <v>164</v>
      </c>
      <c r="D11" s="58"/>
      <c r="E11" s="59" t="s">
        <v>160</v>
      </c>
      <c r="F11" s="58"/>
      <c r="G11" s="60">
        <f>-G17*F29*0.07*0.025</f>
        <v>0</v>
      </c>
      <c r="H11" s="60">
        <f>-H17*G29*0.07*0.25</f>
        <v>-1.0503973873720136</v>
      </c>
      <c r="I11" s="61">
        <f>-I17*H29*0.07*0.25</f>
        <v>-1.476297081</v>
      </c>
      <c r="J11" s="61">
        <f t="shared" ref="J11:R11" si="18">-J17*I29*0.07*0.25</f>
        <v>-1.4504618820825002</v>
      </c>
      <c r="K11" s="61">
        <f t="shared" si="18"/>
        <v>-1.4250787991460563</v>
      </c>
      <c r="L11" s="61">
        <f t="shared" si="18"/>
        <v>-1.4001399201610003</v>
      </c>
      <c r="M11" s="61">
        <f t="shared" si="18"/>
        <v>-1.3756374715581829</v>
      </c>
      <c r="N11" s="61">
        <f t="shared" si="18"/>
        <v>-1.3515638158059144</v>
      </c>
      <c r="O11" s="61">
        <f t="shared" si="18"/>
        <v>-1.3279114490293114</v>
      </c>
      <c r="P11" s="61">
        <f t="shared" si="18"/>
        <v>-1.3046729986712982</v>
      </c>
      <c r="Q11" s="61">
        <f t="shared" si="18"/>
        <v>-1.2818412211945507</v>
      </c>
      <c r="R11" s="61">
        <f t="shared" si="18"/>
        <v>-1.259408999823646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T11" s="48"/>
    </row>
    <row r="12" spans="1:46" s="53" customFormat="1" ht="18.75" customHeight="1" x14ac:dyDescent="0.25">
      <c r="A12" s="48"/>
      <c r="B12" s="56">
        <f t="shared" si="15"/>
        <v>5</v>
      </c>
      <c r="C12" s="57" t="s">
        <v>207</v>
      </c>
      <c r="D12" s="58"/>
      <c r="E12" s="59" t="s">
        <v>165</v>
      </c>
      <c r="F12" s="58"/>
      <c r="G12" s="62">
        <f>G34</f>
        <v>485</v>
      </c>
      <c r="H12" s="62">
        <f t="shared" ref="H12:AO12" si="19">H34</f>
        <v>322.90880000000107</v>
      </c>
      <c r="I12" s="62">
        <f t="shared" si="19"/>
        <v>315.68999319999784</v>
      </c>
      <c r="J12" s="62">
        <f t="shared" si="19"/>
        <v>308.64141464112981</v>
      </c>
      <c r="K12" s="62">
        <f t="shared" si="19"/>
        <v>301.7588827452837</v>
      </c>
      <c r="L12" s="62">
        <f t="shared" si="19"/>
        <v>229.79916639093972</v>
      </c>
      <c r="M12" s="62">
        <f t="shared" si="19"/>
        <v>180.86658067622193</v>
      </c>
      <c r="N12" s="62">
        <f t="shared" si="19"/>
        <v>175.20085588725124</v>
      </c>
      <c r="O12" s="62">
        <f t="shared" si="19"/>
        <v>41.977482575675822</v>
      </c>
      <c r="P12" s="62">
        <f t="shared" si="19"/>
        <v>41.090338447473187</v>
      </c>
      <c r="Q12" s="62">
        <f t="shared" si="19"/>
        <v>40.209728914043808</v>
      </c>
      <c r="R12" s="62">
        <f t="shared" si="19"/>
        <v>39.335576945199136</v>
      </c>
      <c r="S12" s="62">
        <f t="shared" si="19"/>
        <v>38.467806222648505</v>
      </c>
      <c r="T12" s="62">
        <f t="shared" si="19"/>
        <v>37.606341132557645</v>
      </c>
      <c r="U12" s="62">
        <f t="shared" si="19"/>
        <v>36.751106758225433</v>
      </c>
      <c r="V12" s="62">
        <f t="shared" si="19"/>
        <v>35.902028872824303</v>
      </c>
      <c r="W12" s="62">
        <f t="shared" si="19"/>
        <v>35.059033932187958</v>
      </c>
      <c r="X12" s="62">
        <f t="shared" si="19"/>
        <v>34.222049067697299</v>
      </c>
      <c r="Y12" s="62">
        <f t="shared" si="19"/>
        <v>33.391002079224563</v>
      </c>
      <c r="Z12" s="62">
        <f t="shared" si="19"/>
        <v>32.565821428148411</v>
      </c>
      <c r="AA12" s="62">
        <f t="shared" si="19"/>
        <v>31.746436230432664</v>
      </c>
      <c r="AB12" s="62">
        <f t="shared" si="19"/>
        <v>30.932776249777817</v>
      </c>
      <c r="AC12" s="62">
        <f t="shared" si="19"/>
        <v>30.124771890834381</v>
      </c>
      <c r="AD12" s="62">
        <f t="shared" si="19"/>
        <v>29.322354192499915</v>
      </c>
      <c r="AE12" s="62">
        <f t="shared" si="19"/>
        <v>28.525454821254243</v>
      </c>
      <c r="AF12" s="62">
        <f t="shared" si="19"/>
        <v>27.734006064569257</v>
      </c>
      <c r="AG12" s="62">
        <f t="shared" si="19"/>
        <v>26.947940824411489</v>
      </c>
      <c r="AH12" s="62">
        <f t="shared" si="19"/>
        <v>26.16719261075923</v>
      </c>
      <c r="AI12" s="62">
        <f t="shared" si="19"/>
        <v>25.391695535214239</v>
      </c>
      <c r="AJ12" s="62">
        <f t="shared" si="19"/>
        <v>24.621384304678941</v>
      </c>
      <c r="AK12" s="62">
        <f t="shared" si="19"/>
        <v>23.856194215073629</v>
      </c>
      <c r="AL12" s="62">
        <f t="shared" si="19"/>
        <v>23.09606114512826</v>
      </c>
      <c r="AM12" s="62">
        <f t="shared" si="19"/>
        <v>22.340921550245184</v>
      </c>
      <c r="AN12" s="62">
        <f t="shared" si="19"/>
        <v>21.590712456396432</v>
      </c>
      <c r="AO12" s="62">
        <f t="shared" si="19"/>
        <v>20.845371454088308</v>
      </c>
      <c r="AT12" s="48"/>
    </row>
    <row r="13" spans="1:46" s="69" customFormat="1" ht="17.25" customHeight="1" x14ac:dyDescent="0.25">
      <c r="A13" s="64"/>
      <c r="B13" s="65">
        <f t="shared" si="15"/>
        <v>6</v>
      </c>
      <c r="C13" s="66" t="s">
        <v>166</v>
      </c>
      <c r="D13" s="67"/>
      <c r="E13" s="68" t="s">
        <v>165</v>
      </c>
      <c r="F13" s="67"/>
      <c r="G13" s="62">
        <v>0</v>
      </c>
      <c r="H13" s="62">
        <v>0</v>
      </c>
      <c r="I13" s="63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T13" s="64"/>
    </row>
    <row r="14" spans="1:46" s="53" customFormat="1" ht="27" x14ac:dyDescent="0.25">
      <c r="A14" s="48"/>
      <c r="B14" s="56">
        <f t="shared" si="15"/>
        <v>7</v>
      </c>
      <c r="C14" s="57" t="s">
        <v>167</v>
      </c>
      <c r="D14" s="58"/>
      <c r="E14" s="59" t="s">
        <v>121</v>
      </c>
      <c r="F14" s="58"/>
      <c r="G14" s="62">
        <v>0</v>
      </c>
      <c r="H14" s="62">
        <v>0</v>
      </c>
      <c r="I14" s="63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T14" s="48"/>
    </row>
    <row r="15" spans="1:46" s="53" customFormat="1" ht="27" x14ac:dyDescent="0.25">
      <c r="A15" s="48"/>
      <c r="B15" s="56">
        <f t="shared" si="15"/>
        <v>8</v>
      </c>
      <c r="C15" s="57" t="s">
        <v>168</v>
      </c>
      <c r="D15" s="58"/>
      <c r="E15" s="59" t="s">
        <v>121</v>
      </c>
      <c r="F15" s="58"/>
      <c r="G15" s="62">
        <v>0</v>
      </c>
      <c r="H15" s="62">
        <v>0</v>
      </c>
      <c r="I15" s="63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T15" s="48"/>
    </row>
    <row r="16" spans="1:46" s="53" customFormat="1" ht="15.75" customHeight="1" x14ac:dyDescent="0.25">
      <c r="A16" s="48"/>
      <c r="B16" s="56">
        <f t="shared" si="15"/>
        <v>9</v>
      </c>
      <c r="C16" s="57" t="s">
        <v>206</v>
      </c>
      <c r="D16" s="58"/>
      <c r="E16" s="59" t="s">
        <v>165</v>
      </c>
      <c r="F16" s="58"/>
      <c r="G16" s="63">
        <f>G33</f>
        <v>15380</v>
      </c>
      <c r="H16" s="63">
        <f t="shared" ref="H16:AO16" si="20">H33</f>
        <v>15057.091199999999</v>
      </c>
      <c r="I16" s="63">
        <f t="shared" si="20"/>
        <v>14741.401206800001</v>
      </c>
      <c r="J16" s="63">
        <f t="shared" si="20"/>
        <v>14432.759792158871</v>
      </c>
      <c r="K16" s="63">
        <f t="shared" si="20"/>
        <v>14131.000909413588</v>
      </c>
      <c r="L16" s="63">
        <f t="shared" si="20"/>
        <v>13901.201743022648</v>
      </c>
      <c r="M16" s="63">
        <f t="shared" si="20"/>
        <v>13720.335162346426</v>
      </c>
      <c r="N16" s="63">
        <f t="shared" si="20"/>
        <v>13545.134306459175</v>
      </c>
      <c r="O16" s="63">
        <f t="shared" si="20"/>
        <v>13503.156823883499</v>
      </c>
      <c r="P16" s="63">
        <f t="shared" si="20"/>
        <v>13462.066485436026</v>
      </c>
      <c r="Q16" s="63">
        <f t="shared" si="20"/>
        <v>13421.856756521982</v>
      </c>
      <c r="R16" s="63">
        <f t="shared" si="20"/>
        <v>13382.521179576783</v>
      </c>
      <c r="S16" s="63">
        <f t="shared" si="20"/>
        <v>13344.053373354134</v>
      </c>
      <c r="T16" s="63">
        <f t="shared" si="20"/>
        <v>13306.447032221577</v>
      </c>
      <c r="U16" s="63">
        <f t="shared" si="20"/>
        <v>13269.695925463351</v>
      </c>
      <c r="V16" s="63">
        <f t="shared" si="20"/>
        <v>13233.793896590527</v>
      </c>
      <c r="W16" s="63">
        <f t="shared" si="20"/>
        <v>13198.734862658339</v>
      </c>
      <c r="X16" s="63">
        <f t="shared" si="20"/>
        <v>13164.512813590642</v>
      </c>
      <c r="Y16" s="63">
        <f t="shared" si="20"/>
        <v>13131.121811511417</v>
      </c>
      <c r="Z16" s="63">
        <f t="shared" si="20"/>
        <v>13098.555990083269</v>
      </c>
      <c r="AA16" s="63">
        <f t="shared" si="20"/>
        <v>13066.809553852836</v>
      </c>
      <c r="AB16" s="63">
        <f t="shared" si="20"/>
        <v>13035.876777603058</v>
      </c>
      <c r="AC16" s="63">
        <f t="shared" si="20"/>
        <v>13005.752005712224</v>
      </c>
      <c r="AD16" s="63">
        <f t="shared" si="20"/>
        <v>12976.429651519724</v>
      </c>
      <c r="AE16" s="63">
        <f t="shared" si="20"/>
        <v>12947.90419669847</v>
      </c>
      <c r="AF16" s="63">
        <f t="shared" si="20"/>
        <v>12920.1701906339</v>
      </c>
      <c r="AG16" s="63">
        <f t="shared" si="20"/>
        <v>12893.222249809489</v>
      </c>
      <c r="AH16" s="63">
        <f t="shared" si="20"/>
        <v>12867.05505719873</v>
      </c>
      <c r="AI16" s="63">
        <f t="shared" si="20"/>
        <v>12841.663361663515</v>
      </c>
      <c r="AJ16" s="63">
        <f t="shared" si="20"/>
        <v>12817.041977358836</v>
      </c>
      <c r="AK16" s="63">
        <f t="shared" si="20"/>
        <v>12793.185783143763</v>
      </c>
      <c r="AL16" s="63">
        <f t="shared" si="20"/>
        <v>12770.089721998635</v>
      </c>
      <c r="AM16" s="63">
        <f t="shared" si="20"/>
        <v>12747.748800448389</v>
      </c>
      <c r="AN16" s="63">
        <f t="shared" si="20"/>
        <v>12726.158087991993</v>
      </c>
      <c r="AO16" s="63">
        <f t="shared" si="20"/>
        <v>12705.312716537905</v>
      </c>
      <c r="AT16" s="48"/>
    </row>
    <row r="17" spans="1:46" s="53" customFormat="1" ht="15.75" customHeight="1" x14ac:dyDescent="0.25">
      <c r="A17" s="48"/>
      <c r="B17" s="56">
        <f t="shared" si="15"/>
        <v>10</v>
      </c>
      <c r="C17" s="57" t="s">
        <v>169</v>
      </c>
      <c r="D17" s="58"/>
      <c r="E17" s="59" t="s">
        <v>121</v>
      </c>
      <c r="F17" s="58"/>
      <c r="G17" s="467">
        <f>'2.BilantNOPRO'!G17</f>
        <v>586</v>
      </c>
      <c r="H17" s="467">
        <f>'2.BilantNOPRO'!H17</f>
        <v>542</v>
      </c>
      <c r="I17" s="467">
        <f>'2.BilantNOPRO'!I17</f>
        <v>542</v>
      </c>
      <c r="J17" s="467">
        <f>'2.BilantNOPRO'!J17</f>
        <v>542</v>
      </c>
      <c r="K17" s="467">
        <f>'2.BilantNOPRO'!K17</f>
        <v>542</v>
      </c>
      <c r="L17" s="467">
        <f>'2.BilantNOPRO'!L17</f>
        <v>542</v>
      </c>
      <c r="M17" s="467">
        <f>'2.BilantNOPRO'!M17</f>
        <v>542</v>
      </c>
      <c r="N17" s="467">
        <f>'2.BilantNOPRO'!N17</f>
        <v>542</v>
      </c>
      <c r="O17" s="467">
        <f>'2.BilantNOPRO'!O17</f>
        <v>542</v>
      </c>
      <c r="P17" s="467">
        <f>'2.BilantNOPRO'!P17</f>
        <v>542</v>
      </c>
      <c r="Q17" s="467">
        <f>'2.BilantNOPRO'!Q17</f>
        <v>542</v>
      </c>
      <c r="R17" s="467">
        <f>'2.BilantNOPRO'!R17</f>
        <v>542</v>
      </c>
      <c r="S17" s="467">
        <f>'2.BilantNOPRO'!S17</f>
        <v>542</v>
      </c>
      <c r="T17" s="467">
        <f>'2.BilantNOPRO'!T17</f>
        <v>542</v>
      </c>
      <c r="U17" s="467">
        <f>'2.BilantNOPRO'!U17</f>
        <v>542</v>
      </c>
      <c r="V17" s="467">
        <f>'2.BilantNOPRO'!V17</f>
        <v>542</v>
      </c>
      <c r="W17" s="467">
        <f>'2.BilantNOPRO'!W17</f>
        <v>542</v>
      </c>
      <c r="X17" s="467">
        <f>'2.BilantNOPRO'!X17</f>
        <v>542</v>
      </c>
      <c r="Y17" s="467">
        <f>'2.BilantNOPRO'!Y17</f>
        <v>542</v>
      </c>
      <c r="Z17" s="467">
        <f>'2.BilantNOPRO'!Z17</f>
        <v>542</v>
      </c>
      <c r="AA17" s="467">
        <f>'2.BilantNOPRO'!AA17</f>
        <v>542</v>
      </c>
      <c r="AB17" s="467">
        <f>'2.BilantNOPRO'!AB17</f>
        <v>542</v>
      </c>
      <c r="AC17" s="467">
        <f>'2.BilantNOPRO'!AC17</f>
        <v>542</v>
      </c>
      <c r="AD17" s="467">
        <f>'2.BilantNOPRO'!AD17</f>
        <v>542</v>
      </c>
      <c r="AE17" s="467">
        <f>'2.BilantNOPRO'!AE17</f>
        <v>542</v>
      </c>
      <c r="AF17" s="467">
        <f>'2.BilantNOPRO'!AF17</f>
        <v>542</v>
      </c>
      <c r="AG17" s="467">
        <f>'2.BilantNOPRO'!AG17</f>
        <v>542</v>
      </c>
      <c r="AH17" s="467">
        <f>'2.BilantNOPRO'!AH17</f>
        <v>542</v>
      </c>
      <c r="AI17" s="467">
        <f>'2.BilantNOPRO'!AI17</f>
        <v>542</v>
      </c>
      <c r="AJ17" s="467">
        <f>'2.BilantNOPRO'!AJ17</f>
        <v>542</v>
      </c>
      <c r="AK17" s="467">
        <f>'2.BilantNOPRO'!AK17</f>
        <v>542</v>
      </c>
      <c r="AL17" s="467">
        <f>'2.BilantNOPRO'!AL17</f>
        <v>542</v>
      </c>
      <c r="AM17" s="467">
        <f>'2.BilantNOPRO'!AM17</f>
        <v>542</v>
      </c>
      <c r="AN17" s="467">
        <f>'2.BilantNOPRO'!AN17</f>
        <v>542</v>
      </c>
      <c r="AO17" s="467">
        <f>'2.BilantNOPRO'!AO17</f>
        <v>542</v>
      </c>
      <c r="AT17" s="48"/>
    </row>
    <row r="18" spans="1:46" s="53" customFormat="1" ht="15" x14ac:dyDescent="0.25">
      <c r="A18" s="48"/>
      <c r="B18" s="56">
        <f t="shared" si="15"/>
        <v>11</v>
      </c>
      <c r="C18" s="70" t="s">
        <v>170</v>
      </c>
      <c r="D18" s="71"/>
      <c r="E18" s="72" t="s">
        <v>160</v>
      </c>
      <c r="F18" s="71"/>
      <c r="G18" s="73">
        <v>0</v>
      </c>
      <c r="H18" s="60">
        <f>H9+H10</f>
        <v>-8.8736014468128843</v>
      </c>
      <c r="I18" s="61">
        <f t="shared" ref="I18:AO18" si="21">I9+I10</f>
        <v>-7.9652613166604107</v>
      </c>
      <c r="J18" s="73">
        <f t="shared" si="21"/>
        <v>-7.7224613652875211</v>
      </c>
      <c r="K18" s="73">
        <f t="shared" si="21"/>
        <v>-7.4872829850431142</v>
      </c>
      <c r="L18" s="73">
        <f t="shared" si="21"/>
        <v>-6.1312543436242217</v>
      </c>
      <c r="M18" s="73">
        <f t="shared" si="21"/>
        <v>-5.2040117144963798</v>
      </c>
      <c r="N18" s="73">
        <f t="shared" si="21"/>
        <v>-5.0350732086093899</v>
      </c>
      <c r="O18" s="73">
        <f t="shared" si="21"/>
        <v>-2.7209922399110189</v>
      </c>
      <c r="P18" s="73">
        <f t="shared" si="21"/>
        <v>-2.6761847757188422</v>
      </c>
      <c r="Q18" s="73">
        <f t="shared" si="21"/>
        <v>-2.6321908705555503</v>
      </c>
      <c r="R18" s="60">
        <f t="shared" si="21"/>
        <v>-2.5889954273430349</v>
      </c>
      <c r="S18" s="73">
        <f t="shared" si="21"/>
        <v>-2.5465836304265532</v>
      </c>
      <c r="T18" s="73">
        <f t="shared" si="21"/>
        <v>-2.5049409403234</v>
      </c>
      <c r="U18" s="73">
        <f t="shared" si="21"/>
        <v>-2.4640530885703242</v>
      </c>
      <c r="V18" s="73">
        <f t="shared" si="21"/>
        <v>-2.4239060726669637</v>
      </c>
      <c r="W18" s="73">
        <f t="shared" si="21"/>
        <v>-2.3844861511132645</v>
      </c>
      <c r="X18" s="73">
        <f t="shared" si="21"/>
        <v>-2.3457798385399489</v>
      </c>
      <c r="Y18" s="73">
        <f t="shared" si="21"/>
        <v>-2.3077739009296736</v>
      </c>
      <c r="Z18" s="73">
        <f t="shared" si="21"/>
        <v>-2.2704553509273988</v>
      </c>
      <c r="AA18" s="73">
        <f t="shared" si="21"/>
        <v>-2.2338114432381997</v>
      </c>
      <c r="AB18" s="73">
        <f t="shared" si="21"/>
        <v>-2.1978296701110418</v>
      </c>
      <c r="AC18" s="73">
        <f t="shared" si="21"/>
        <v>-2.1624977569067565</v>
      </c>
      <c r="AD18" s="73">
        <f t="shared" si="21"/>
        <v>-0.43671806360177967</v>
      </c>
      <c r="AE18" s="73">
        <f t="shared" si="21"/>
        <v>-0.42484929112835729</v>
      </c>
      <c r="AF18" s="73">
        <f t="shared" si="21"/>
        <v>-0.41306169842040508</v>
      </c>
      <c r="AG18" s="73">
        <f t="shared" si="21"/>
        <v>-0.40135428614058977</v>
      </c>
      <c r="AH18" s="73">
        <f t="shared" si="21"/>
        <v>-0.38972606400711673</v>
      </c>
      <c r="AI18" s="73">
        <f t="shared" si="21"/>
        <v>-0.37817605069858512</v>
      </c>
      <c r="AJ18" s="73">
        <f t="shared" si="21"/>
        <v>-0.36670327375981782</v>
      </c>
      <c r="AK18" s="73">
        <f t="shared" si="21"/>
        <v>-0.35530676950828749</v>
      </c>
      <c r="AL18" s="73">
        <f t="shared" si="21"/>
        <v>-0.34398558294165343</v>
      </c>
      <c r="AM18" s="73">
        <f t="shared" si="21"/>
        <v>-0.33273876764635485</v>
      </c>
      <c r="AN18" s="73">
        <f t="shared" si="21"/>
        <v>-1.6584702564100771</v>
      </c>
      <c r="AO18" s="73">
        <f t="shared" si="21"/>
        <v>-1.6440749354694555</v>
      </c>
      <c r="AT18" s="48"/>
    </row>
    <row r="19" spans="1:46" s="53" customFormat="1" ht="30" x14ac:dyDescent="0.25">
      <c r="A19" s="48"/>
      <c r="B19" s="56">
        <f t="shared" si="15"/>
        <v>12</v>
      </c>
      <c r="C19" s="70" t="s">
        <v>171</v>
      </c>
      <c r="D19" s="71"/>
      <c r="E19" s="72" t="s">
        <v>160</v>
      </c>
      <c r="F19" s="71"/>
      <c r="G19" s="73">
        <v>0</v>
      </c>
      <c r="H19" s="60">
        <f t="shared" ref="H19:AO19" si="22">H8+H11</f>
        <v>-1.0503973873720136</v>
      </c>
      <c r="I19" s="61">
        <f t="shared" si="22"/>
        <v>-1.476297081</v>
      </c>
      <c r="J19" s="73">
        <f t="shared" si="22"/>
        <v>-1.4504618820825002</v>
      </c>
      <c r="K19" s="73">
        <f t="shared" si="22"/>
        <v>-1.4250787991460563</v>
      </c>
      <c r="L19" s="73">
        <f t="shared" si="22"/>
        <v>-1.4001399201610003</v>
      </c>
      <c r="M19" s="60">
        <f t="shared" si="22"/>
        <v>-1.3756374715581829</v>
      </c>
      <c r="N19" s="73">
        <f t="shared" si="22"/>
        <v>-1.3515638158059144</v>
      </c>
      <c r="O19" s="73">
        <f t="shared" si="22"/>
        <v>-1.3279114490293114</v>
      </c>
      <c r="P19" s="73">
        <f t="shared" si="22"/>
        <v>-1.3046729986712982</v>
      </c>
      <c r="Q19" s="73">
        <f t="shared" si="22"/>
        <v>-1.2818412211945507</v>
      </c>
      <c r="R19" s="73">
        <f t="shared" si="22"/>
        <v>-1.259408999823646</v>
      </c>
      <c r="S19" s="73">
        <f t="shared" si="22"/>
        <v>0</v>
      </c>
      <c r="T19" s="73">
        <f t="shared" si="22"/>
        <v>0</v>
      </c>
      <c r="U19" s="73">
        <f t="shared" si="22"/>
        <v>0</v>
      </c>
      <c r="V19" s="73">
        <f t="shared" si="22"/>
        <v>0</v>
      </c>
      <c r="W19" s="73">
        <f t="shared" si="22"/>
        <v>0</v>
      </c>
      <c r="X19" s="73">
        <f t="shared" si="22"/>
        <v>0</v>
      </c>
      <c r="Y19" s="73">
        <f t="shared" si="22"/>
        <v>0</v>
      </c>
      <c r="Z19" s="73">
        <f t="shared" si="22"/>
        <v>0</v>
      </c>
      <c r="AA19" s="73">
        <f t="shared" si="22"/>
        <v>0</v>
      </c>
      <c r="AB19" s="73">
        <f t="shared" si="22"/>
        <v>0</v>
      </c>
      <c r="AC19" s="73">
        <f t="shared" si="22"/>
        <v>0</v>
      </c>
      <c r="AD19" s="73">
        <f t="shared" si="22"/>
        <v>0</v>
      </c>
      <c r="AE19" s="73">
        <f t="shared" si="22"/>
        <v>0</v>
      </c>
      <c r="AF19" s="73">
        <f t="shared" si="22"/>
        <v>0</v>
      </c>
      <c r="AG19" s="73">
        <f t="shared" si="22"/>
        <v>0</v>
      </c>
      <c r="AH19" s="73">
        <f t="shared" si="22"/>
        <v>0</v>
      </c>
      <c r="AI19" s="73">
        <f t="shared" si="22"/>
        <v>0</v>
      </c>
      <c r="AJ19" s="73">
        <f t="shared" si="22"/>
        <v>0</v>
      </c>
      <c r="AK19" s="73">
        <f t="shared" si="22"/>
        <v>0</v>
      </c>
      <c r="AL19" s="73">
        <f t="shared" si="22"/>
        <v>0</v>
      </c>
      <c r="AM19" s="73">
        <f t="shared" si="22"/>
        <v>0</v>
      </c>
      <c r="AN19" s="73">
        <f t="shared" si="22"/>
        <v>0</v>
      </c>
      <c r="AO19" s="73">
        <f t="shared" si="22"/>
        <v>0</v>
      </c>
      <c r="AT19" s="48"/>
    </row>
    <row r="20" spans="1:46" s="53" customFormat="1" ht="16.5" customHeight="1" x14ac:dyDescent="0.25">
      <c r="A20" s="48"/>
      <c r="B20" s="56">
        <f t="shared" si="15"/>
        <v>13</v>
      </c>
      <c r="C20" s="57" t="s">
        <v>172</v>
      </c>
      <c r="D20" s="58"/>
      <c r="E20" s="59" t="s">
        <v>163</v>
      </c>
      <c r="F20" s="58"/>
      <c r="G20" s="468">
        <f>'2.BilantNOPRO'!G20</f>
        <v>300.17262599999998</v>
      </c>
      <c r="H20" s="468">
        <f>'2.BilantNOPRO'!H20</f>
        <v>269.7094692</v>
      </c>
      <c r="I20" s="61">
        <f>H20+I18</f>
        <v>261.74420788333958</v>
      </c>
      <c r="J20" s="60">
        <f t="shared" ref="J20:AO21" si="23">I20+J18</f>
        <v>254.02174651805205</v>
      </c>
      <c r="K20" s="60">
        <f t="shared" si="23"/>
        <v>246.53446353300893</v>
      </c>
      <c r="L20" s="60">
        <f t="shared" si="23"/>
        <v>240.40320918938471</v>
      </c>
      <c r="M20" s="60">
        <f t="shared" si="23"/>
        <v>235.19919747488834</v>
      </c>
      <c r="N20" s="60">
        <f t="shared" si="23"/>
        <v>230.16412426627895</v>
      </c>
      <c r="O20" s="60">
        <f t="shared" si="23"/>
        <v>227.44313202636792</v>
      </c>
      <c r="P20" s="60">
        <f t="shared" si="23"/>
        <v>224.76694725064908</v>
      </c>
      <c r="Q20" s="60">
        <f t="shared" si="23"/>
        <v>222.13475638009353</v>
      </c>
      <c r="R20" s="60">
        <f t="shared" si="23"/>
        <v>219.5457609527505</v>
      </c>
      <c r="S20" s="60">
        <f t="shared" si="23"/>
        <v>216.99917732232396</v>
      </c>
      <c r="T20" s="60">
        <f t="shared" si="23"/>
        <v>214.49423638200057</v>
      </c>
      <c r="U20" s="60">
        <f t="shared" si="23"/>
        <v>212.03018329343024</v>
      </c>
      <c r="V20" s="60">
        <f t="shared" si="23"/>
        <v>209.60627722076327</v>
      </c>
      <c r="W20" s="60">
        <f t="shared" si="23"/>
        <v>207.22179106965001</v>
      </c>
      <c r="X20" s="60">
        <f t="shared" si="23"/>
        <v>204.87601123111006</v>
      </c>
      <c r="Y20" s="60">
        <f t="shared" si="23"/>
        <v>202.56823733018038</v>
      </c>
      <c r="Z20" s="60">
        <f t="shared" si="23"/>
        <v>200.29778197925299</v>
      </c>
      <c r="AA20" s="60">
        <f t="shared" si="23"/>
        <v>198.06397053601478</v>
      </c>
      <c r="AB20" s="60">
        <f t="shared" si="23"/>
        <v>195.86614086590373</v>
      </c>
      <c r="AC20" s="60">
        <f t="shared" si="23"/>
        <v>193.70364310899697</v>
      </c>
      <c r="AD20" s="60">
        <f t="shared" si="23"/>
        <v>193.2669250453952</v>
      </c>
      <c r="AE20" s="60">
        <f t="shared" si="23"/>
        <v>192.84207575426683</v>
      </c>
      <c r="AF20" s="60">
        <f t="shared" si="23"/>
        <v>192.42901405584644</v>
      </c>
      <c r="AG20" s="60">
        <f t="shared" si="23"/>
        <v>192.02765976970585</v>
      </c>
      <c r="AH20" s="60">
        <f t="shared" si="23"/>
        <v>191.63793370569874</v>
      </c>
      <c r="AI20" s="60">
        <f t="shared" si="23"/>
        <v>191.25975765500016</v>
      </c>
      <c r="AJ20" s="60">
        <f t="shared" si="23"/>
        <v>190.89305438124035</v>
      </c>
      <c r="AK20" s="60">
        <f t="shared" si="23"/>
        <v>190.53774761173207</v>
      </c>
      <c r="AL20" s="60">
        <f t="shared" si="23"/>
        <v>190.19376202879042</v>
      </c>
      <c r="AM20" s="60">
        <f t="shared" si="23"/>
        <v>189.86102326114406</v>
      </c>
      <c r="AN20" s="60">
        <f t="shared" si="23"/>
        <v>188.20255300473397</v>
      </c>
      <c r="AO20" s="60">
        <f t="shared" si="23"/>
        <v>186.55847806926451</v>
      </c>
      <c r="AT20" s="48"/>
    </row>
    <row r="21" spans="1:46" s="53" customFormat="1" ht="20.25" customHeight="1" x14ac:dyDescent="0.25">
      <c r="A21" s="48"/>
      <c r="B21" s="56">
        <f t="shared" si="15"/>
        <v>14</v>
      </c>
      <c r="C21" s="57" t="s">
        <v>210</v>
      </c>
      <c r="D21" s="58"/>
      <c r="E21" s="59" t="s">
        <v>160</v>
      </c>
      <c r="F21" s="58"/>
      <c r="G21" s="468">
        <f>'2.BilantNOPRO'!G21</f>
        <v>64.895399999999995</v>
      </c>
      <c r="H21" s="468">
        <f>'2.BilantNOPRO'!H21</f>
        <v>84.359833199999997</v>
      </c>
      <c r="I21" s="61">
        <f>H21+I19</f>
        <v>82.883536118999999</v>
      </c>
      <c r="J21" s="60">
        <f t="shared" si="23"/>
        <v>81.433074236917491</v>
      </c>
      <c r="K21" s="60">
        <f t="shared" si="23"/>
        <v>80.007995437771442</v>
      </c>
      <c r="L21" s="60">
        <f t="shared" si="23"/>
        <v>78.607855517610446</v>
      </c>
      <c r="M21" s="60">
        <f t="shared" si="23"/>
        <v>77.232218046052267</v>
      </c>
      <c r="N21" s="60">
        <f t="shared" si="23"/>
        <v>75.88065423024635</v>
      </c>
      <c r="O21" s="60">
        <f t="shared" si="23"/>
        <v>74.552742781217034</v>
      </c>
      <c r="P21" s="60">
        <f t="shared" si="23"/>
        <v>73.248069782545741</v>
      </c>
      <c r="Q21" s="60">
        <f t="shared" si="23"/>
        <v>71.966228561351187</v>
      </c>
      <c r="R21" s="60">
        <f t="shared" si="23"/>
        <v>70.706819561527539</v>
      </c>
      <c r="S21" s="60">
        <f t="shared" si="23"/>
        <v>70.706819561527539</v>
      </c>
      <c r="T21" s="60">
        <f t="shared" si="23"/>
        <v>70.706819561527539</v>
      </c>
      <c r="U21" s="60">
        <f t="shared" si="23"/>
        <v>70.706819561527539</v>
      </c>
      <c r="V21" s="60">
        <f t="shared" si="23"/>
        <v>70.706819561527539</v>
      </c>
      <c r="W21" s="60">
        <f t="shared" si="23"/>
        <v>70.706819561527539</v>
      </c>
      <c r="X21" s="60">
        <f t="shared" si="23"/>
        <v>70.706819561527539</v>
      </c>
      <c r="Y21" s="60">
        <f t="shared" si="23"/>
        <v>70.706819561527539</v>
      </c>
      <c r="Z21" s="60">
        <f t="shared" si="23"/>
        <v>70.706819561527539</v>
      </c>
      <c r="AA21" s="60">
        <f t="shared" si="23"/>
        <v>70.706819561527539</v>
      </c>
      <c r="AB21" s="60">
        <f t="shared" si="23"/>
        <v>70.706819561527539</v>
      </c>
      <c r="AC21" s="60">
        <f t="shared" si="23"/>
        <v>70.706819561527539</v>
      </c>
      <c r="AD21" s="60">
        <f t="shared" si="23"/>
        <v>70.706819561527539</v>
      </c>
      <c r="AE21" s="60">
        <f t="shared" si="23"/>
        <v>70.706819561527539</v>
      </c>
      <c r="AF21" s="60">
        <f t="shared" si="23"/>
        <v>70.706819561527539</v>
      </c>
      <c r="AG21" s="60">
        <f t="shared" si="23"/>
        <v>70.706819561527539</v>
      </c>
      <c r="AH21" s="60">
        <f t="shared" si="23"/>
        <v>70.706819561527539</v>
      </c>
      <c r="AI21" s="60">
        <f t="shared" si="23"/>
        <v>70.706819561527539</v>
      </c>
      <c r="AJ21" s="60">
        <f t="shared" si="23"/>
        <v>70.706819561527539</v>
      </c>
      <c r="AK21" s="60">
        <f t="shared" si="23"/>
        <v>70.706819561527539</v>
      </c>
      <c r="AL21" s="60">
        <f t="shared" si="23"/>
        <v>70.706819561527539</v>
      </c>
      <c r="AM21" s="60">
        <f t="shared" si="23"/>
        <v>70.706819561527539</v>
      </c>
      <c r="AN21" s="60">
        <f t="shared" si="23"/>
        <v>70.706819561527539</v>
      </c>
      <c r="AO21" s="60">
        <f t="shared" si="23"/>
        <v>70.706819561527539</v>
      </c>
      <c r="AT21" s="48"/>
    </row>
    <row r="22" spans="1:46" s="80" customFormat="1" ht="21.75" customHeight="1" x14ac:dyDescent="0.3">
      <c r="A22" s="74"/>
      <c r="B22" s="56">
        <f t="shared" si="15"/>
        <v>15</v>
      </c>
      <c r="C22" s="75" t="s">
        <v>209</v>
      </c>
      <c r="D22" s="76"/>
      <c r="E22" s="77" t="s">
        <v>160</v>
      </c>
      <c r="F22" s="76"/>
      <c r="G22" s="78">
        <f t="shared" ref="G22:AO22" si="24">G20+G21</f>
        <v>365.06802599999997</v>
      </c>
      <c r="H22" s="78">
        <f t="shared" si="24"/>
        <v>354.06930239999997</v>
      </c>
      <c r="I22" s="79">
        <f t="shared" si="24"/>
        <v>344.62774400233957</v>
      </c>
      <c r="J22" s="78">
        <f t="shared" si="24"/>
        <v>335.45482075496955</v>
      </c>
      <c r="K22" s="78">
        <f t="shared" si="24"/>
        <v>326.54245897078039</v>
      </c>
      <c r="L22" s="78">
        <f t="shared" si="24"/>
        <v>319.01106470699517</v>
      </c>
      <c r="M22" s="78">
        <f t="shared" si="24"/>
        <v>312.43141552094062</v>
      </c>
      <c r="N22" s="78">
        <f t="shared" si="24"/>
        <v>306.04477849652528</v>
      </c>
      <c r="O22" s="78">
        <f t="shared" si="24"/>
        <v>301.99587480758498</v>
      </c>
      <c r="P22" s="78">
        <f t="shared" si="24"/>
        <v>298.01501703319479</v>
      </c>
      <c r="Q22" s="78">
        <f t="shared" si="24"/>
        <v>294.10098494144472</v>
      </c>
      <c r="R22" s="78">
        <f t="shared" si="24"/>
        <v>290.25258051427807</v>
      </c>
      <c r="S22" s="78">
        <f t="shared" si="24"/>
        <v>287.70599688385153</v>
      </c>
      <c r="T22" s="78">
        <f t="shared" si="24"/>
        <v>285.2010559435281</v>
      </c>
      <c r="U22" s="78">
        <f t="shared" si="24"/>
        <v>282.73700285495778</v>
      </c>
      <c r="V22" s="78">
        <f t="shared" si="24"/>
        <v>280.31309678229081</v>
      </c>
      <c r="W22" s="78">
        <f t="shared" si="24"/>
        <v>277.92861063117755</v>
      </c>
      <c r="X22" s="78">
        <f t="shared" si="24"/>
        <v>275.58283079263759</v>
      </c>
      <c r="Y22" s="78">
        <f t="shared" si="24"/>
        <v>273.27505689170789</v>
      </c>
      <c r="Z22" s="78">
        <f t="shared" si="24"/>
        <v>271.00460154078053</v>
      </c>
      <c r="AA22" s="78">
        <f t="shared" si="24"/>
        <v>268.77079009754232</v>
      </c>
      <c r="AB22" s="78">
        <f t="shared" si="24"/>
        <v>266.57296042743127</v>
      </c>
      <c r="AC22" s="78">
        <f t="shared" si="24"/>
        <v>264.41046267052451</v>
      </c>
      <c r="AD22" s="78">
        <f t="shared" si="24"/>
        <v>263.97374460692276</v>
      </c>
      <c r="AE22" s="78">
        <f t="shared" si="24"/>
        <v>263.54889531579437</v>
      </c>
      <c r="AF22" s="78">
        <f t="shared" si="24"/>
        <v>263.13583361737398</v>
      </c>
      <c r="AG22" s="78">
        <f t="shared" si="24"/>
        <v>262.73447933123339</v>
      </c>
      <c r="AH22" s="78">
        <f t="shared" si="24"/>
        <v>262.34475326722628</v>
      </c>
      <c r="AI22" s="78">
        <f t="shared" si="24"/>
        <v>261.9665772165277</v>
      </c>
      <c r="AJ22" s="78">
        <f t="shared" si="24"/>
        <v>261.59987394276789</v>
      </c>
      <c r="AK22" s="78">
        <f t="shared" si="24"/>
        <v>261.24456717325961</v>
      </c>
      <c r="AL22" s="78">
        <f t="shared" si="24"/>
        <v>260.90058159031798</v>
      </c>
      <c r="AM22" s="78">
        <f t="shared" si="24"/>
        <v>260.56784282267159</v>
      </c>
      <c r="AN22" s="78">
        <f t="shared" si="24"/>
        <v>258.90937256626148</v>
      </c>
      <c r="AO22" s="78">
        <f t="shared" si="24"/>
        <v>257.26529763079202</v>
      </c>
      <c r="AT22" s="74"/>
    </row>
    <row r="23" spans="1:46" s="53" customFormat="1" ht="19.5" customHeight="1" x14ac:dyDescent="0.25">
      <c r="A23" s="48"/>
      <c r="B23" s="56">
        <f t="shared" si="15"/>
        <v>16</v>
      </c>
      <c r="C23" s="57" t="s">
        <v>173</v>
      </c>
      <c r="D23" s="58"/>
      <c r="E23" s="59" t="s">
        <v>160</v>
      </c>
      <c r="F23" s="58"/>
      <c r="G23" s="470">
        <f>'2.BilantNOPRO'!G23</f>
        <v>279.35166959999998</v>
      </c>
      <c r="H23" s="470">
        <f>'2.BilantNOPRO'!H23</f>
        <v>273.29755679999994</v>
      </c>
      <c r="I23" s="470">
        <f>'2.BilantNOPRO'!I23</f>
        <v>273.29755679999994</v>
      </c>
      <c r="J23" s="470">
        <f>'2.BilantNOPRO'!J23</f>
        <v>273.29755679999994</v>
      </c>
      <c r="K23" s="470">
        <f>'2.BilantNOPRO'!K23</f>
        <v>273.29755679999994</v>
      </c>
      <c r="L23" s="471">
        <f>K23-17.68</f>
        <v>255.61755679999993</v>
      </c>
      <c r="M23" s="471">
        <f>L23-30.54</f>
        <v>225.07755679999994</v>
      </c>
      <c r="N23" s="471">
        <f>M23-32.15</f>
        <v>192.92755679999993</v>
      </c>
      <c r="O23" s="81">
        <f t="shared" ref="O23:AO23" si="25">N23</f>
        <v>192.92755679999993</v>
      </c>
      <c r="P23" s="81">
        <f t="shared" si="25"/>
        <v>192.92755679999993</v>
      </c>
      <c r="Q23" s="81">
        <f t="shared" si="25"/>
        <v>192.92755679999993</v>
      </c>
      <c r="R23" s="81">
        <f t="shared" si="25"/>
        <v>192.92755679999993</v>
      </c>
      <c r="S23" s="81">
        <f t="shared" si="25"/>
        <v>192.92755679999993</v>
      </c>
      <c r="T23" s="81">
        <f t="shared" si="25"/>
        <v>192.92755679999993</v>
      </c>
      <c r="U23" s="81">
        <f t="shared" si="25"/>
        <v>192.92755679999993</v>
      </c>
      <c r="V23" s="81">
        <f t="shared" si="25"/>
        <v>192.92755679999993</v>
      </c>
      <c r="W23" s="81">
        <f t="shared" si="25"/>
        <v>192.92755679999993</v>
      </c>
      <c r="X23" s="81">
        <f t="shared" si="25"/>
        <v>192.92755679999993</v>
      </c>
      <c r="Y23" s="81">
        <f t="shared" si="25"/>
        <v>192.92755679999993</v>
      </c>
      <c r="Z23" s="81">
        <f t="shared" si="25"/>
        <v>192.92755679999993</v>
      </c>
      <c r="AA23" s="81">
        <f t="shared" si="25"/>
        <v>192.92755679999993</v>
      </c>
      <c r="AB23" s="81">
        <f t="shared" si="25"/>
        <v>192.92755679999993</v>
      </c>
      <c r="AC23" s="81">
        <f t="shared" si="25"/>
        <v>192.92755679999993</v>
      </c>
      <c r="AD23" s="81">
        <f t="shared" si="25"/>
        <v>192.92755679999993</v>
      </c>
      <c r="AE23" s="81">
        <f t="shared" si="25"/>
        <v>192.92755679999993</v>
      </c>
      <c r="AF23" s="81">
        <f t="shared" si="25"/>
        <v>192.92755679999993</v>
      </c>
      <c r="AG23" s="81">
        <f t="shared" si="25"/>
        <v>192.92755679999993</v>
      </c>
      <c r="AH23" s="81">
        <f t="shared" si="25"/>
        <v>192.92755679999993</v>
      </c>
      <c r="AI23" s="81">
        <f t="shared" si="25"/>
        <v>192.92755679999993</v>
      </c>
      <c r="AJ23" s="81">
        <f t="shared" si="25"/>
        <v>192.92755679999993</v>
      </c>
      <c r="AK23" s="81">
        <f t="shared" si="25"/>
        <v>192.92755679999993</v>
      </c>
      <c r="AL23" s="81">
        <f t="shared" si="25"/>
        <v>192.92755679999993</v>
      </c>
      <c r="AM23" s="81">
        <f t="shared" si="25"/>
        <v>192.92755679999993</v>
      </c>
      <c r="AN23" s="81">
        <f t="shared" si="25"/>
        <v>192.92755679999993</v>
      </c>
      <c r="AO23" s="81">
        <f t="shared" si="25"/>
        <v>192.92755679999993</v>
      </c>
      <c r="AT23" s="48"/>
    </row>
    <row r="24" spans="1:46" s="80" customFormat="1" ht="17.25" customHeight="1" x14ac:dyDescent="0.3">
      <c r="A24" s="74"/>
      <c r="B24" s="646">
        <f>B23+1</f>
        <v>17</v>
      </c>
      <c r="C24" s="642" t="s">
        <v>174</v>
      </c>
      <c r="D24" s="76"/>
      <c r="E24" s="77" t="s">
        <v>160</v>
      </c>
      <c r="F24" s="76"/>
      <c r="G24" s="78">
        <f>G22+G23</f>
        <v>644.41969559999995</v>
      </c>
      <c r="H24" s="78">
        <f t="shared" ref="H24:AO24" si="26">H22+H23</f>
        <v>627.36685919999991</v>
      </c>
      <c r="I24" s="79">
        <f t="shared" si="26"/>
        <v>617.92530080233951</v>
      </c>
      <c r="J24" s="78">
        <f t="shared" si="26"/>
        <v>608.75237755496948</v>
      </c>
      <c r="K24" s="78">
        <f t="shared" si="26"/>
        <v>599.84001577078038</v>
      </c>
      <c r="L24" s="78">
        <f t="shared" si="26"/>
        <v>574.62862150699516</v>
      </c>
      <c r="M24" s="78">
        <f t="shared" si="26"/>
        <v>537.50897232094053</v>
      </c>
      <c r="N24" s="78">
        <f t="shared" si="26"/>
        <v>498.97233529652522</v>
      </c>
      <c r="O24" s="78">
        <f t="shared" si="26"/>
        <v>494.92343160758492</v>
      </c>
      <c r="P24" s="78">
        <f t="shared" si="26"/>
        <v>490.94257383319473</v>
      </c>
      <c r="Q24" s="78">
        <f t="shared" si="26"/>
        <v>487.02854174144466</v>
      </c>
      <c r="R24" s="78">
        <f t="shared" si="26"/>
        <v>483.180137314278</v>
      </c>
      <c r="S24" s="78">
        <f t="shared" si="26"/>
        <v>480.63355368385146</v>
      </c>
      <c r="T24" s="78">
        <f t="shared" si="26"/>
        <v>478.12861274352804</v>
      </c>
      <c r="U24" s="78">
        <f t="shared" si="26"/>
        <v>475.66455965495771</v>
      </c>
      <c r="V24" s="78">
        <f t="shared" si="26"/>
        <v>473.24065358229075</v>
      </c>
      <c r="W24" s="78">
        <f t="shared" si="26"/>
        <v>470.85616743117748</v>
      </c>
      <c r="X24" s="78">
        <f t="shared" si="26"/>
        <v>468.51038759263753</v>
      </c>
      <c r="Y24" s="78">
        <f t="shared" si="26"/>
        <v>466.20261369170782</v>
      </c>
      <c r="Z24" s="78">
        <f t="shared" si="26"/>
        <v>463.93215834078046</v>
      </c>
      <c r="AA24" s="78">
        <f t="shared" si="26"/>
        <v>461.69834689754225</v>
      </c>
      <c r="AB24" s="78">
        <f t="shared" si="26"/>
        <v>459.5005172274312</v>
      </c>
      <c r="AC24" s="78">
        <f t="shared" si="26"/>
        <v>457.33801947052444</v>
      </c>
      <c r="AD24" s="78">
        <f t="shared" si="26"/>
        <v>456.9013014069227</v>
      </c>
      <c r="AE24" s="78">
        <f t="shared" si="26"/>
        <v>456.4764521157943</v>
      </c>
      <c r="AF24" s="78">
        <f t="shared" si="26"/>
        <v>456.06339041737391</v>
      </c>
      <c r="AG24" s="78">
        <f t="shared" si="26"/>
        <v>455.66203613123332</v>
      </c>
      <c r="AH24" s="78">
        <f t="shared" si="26"/>
        <v>455.27231006722621</v>
      </c>
      <c r="AI24" s="78">
        <f t="shared" si="26"/>
        <v>454.89413401652763</v>
      </c>
      <c r="AJ24" s="78">
        <f t="shared" si="26"/>
        <v>454.52743074276782</v>
      </c>
      <c r="AK24" s="78">
        <f t="shared" si="26"/>
        <v>454.17212397325954</v>
      </c>
      <c r="AL24" s="78">
        <f t="shared" si="26"/>
        <v>453.82813839031792</v>
      </c>
      <c r="AM24" s="78">
        <f t="shared" si="26"/>
        <v>453.49539962267153</v>
      </c>
      <c r="AN24" s="78">
        <f t="shared" si="26"/>
        <v>451.83692936626142</v>
      </c>
      <c r="AO24" s="78">
        <f t="shared" si="26"/>
        <v>450.19285443079195</v>
      </c>
      <c r="AT24" s="74"/>
    </row>
    <row r="25" spans="1:46" s="80" customFormat="1" ht="21.75" customHeight="1" x14ac:dyDescent="0.3">
      <c r="A25" s="74"/>
      <c r="B25" s="646"/>
      <c r="C25" s="642"/>
      <c r="D25" s="82"/>
      <c r="E25" s="77" t="s">
        <v>175</v>
      </c>
      <c r="F25" s="76"/>
      <c r="G25" s="78">
        <f>G24*1000/'1.Input'!$K$63</f>
        <v>153917</v>
      </c>
      <c r="H25" s="78">
        <f>H24*1000/'1.Input'!$K$63</f>
        <v>149844</v>
      </c>
      <c r="I25" s="79">
        <f>I24*1000/'1.Input'!$K$63</f>
        <v>147588.9225189499</v>
      </c>
      <c r="J25" s="78">
        <f>J24*1000/'1.Input'!$K$63</f>
        <v>145398.00744123664</v>
      </c>
      <c r="K25" s="78">
        <f>K24*1000/'1.Input'!$K$63</f>
        <v>143269.32639982336</v>
      </c>
      <c r="L25" s="78">
        <f>L24*1000/'1.Input'!$K$63</f>
        <v>137247.68833166026</v>
      </c>
      <c r="M25" s="78">
        <f>M24*1000/'1.Input'!$K$63</f>
        <v>128381.81243931895</v>
      </c>
      <c r="N25" s="78">
        <f>N24*1000/'1.Input'!$K$63</f>
        <v>119177.49481621411</v>
      </c>
      <c r="O25" s="78">
        <f>O24*1000/'1.Input'!$K$63</f>
        <v>118210.43078427079</v>
      </c>
      <c r="P25" s="78">
        <f>P24*1000/'1.Input'!$K$63</f>
        <v>117259.61923980003</v>
      </c>
      <c r="Q25" s="78">
        <f>Q24*1000/'1.Input'!$K$63</f>
        <v>116324.76873541719</v>
      </c>
      <c r="R25" s="78">
        <f>R24*1000/'1.Input'!$K$63</f>
        <v>115405.59312942534</v>
      </c>
      <c r="S25" s="78">
        <f>S24*1000/'1.Input'!$K$63</f>
        <v>114797.35207887921</v>
      </c>
      <c r="T25" s="78">
        <f>T24*1000/'1.Input'!$K$63</f>
        <v>114199.05721398874</v>
      </c>
      <c r="U25" s="78">
        <f>U24*1000/'1.Input'!$K$63</f>
        <v>113610.52824471142</v>
      </c>
      <c r="V25" s="78">
        <f>V24*1000/'1.Input'!$K$63</f>
        <v>113031.58822544443</v>
      </c>
      <c r="W25" s="78">
        <f>W24*1000/'1.Input'!$K$63</f>
        <v>112462.06349268593</v>
      </c>
      <c r="X25" s="78">
        <f>X24*1000/'1.Input'!$K$63</f>
        <v>111901.78360385916</v>
      </c>
      <c r="Y25" s="78">
        <f>Y24*1000/'1.Input'!$K$63</f>
        <v>111350.58127727808</v>
      </c>
      <c r="Z25" s="78">
        <f>Z24*1000/'1.Input'!$K$63</f>
        <v>110808.29233323314</v>
      </c>
      <c r="AA25" s="78">
        <f>AA24*1000/'1.Input'!$K$63</f>
        <v>110274.75563617614</v>
      </c>
      <c r="AB25" s="78">
        <f>AB24*1000/'1.Input'!$K$63</f>
        <v>109749.81303798394</v>
      </c>
      <c r="AC25" s="78">
        <f>AC24*1000/'1.Input'!$K$63</f>
        <v>109233.30932228061</v>
      </c>
      <c r="AD25" s="78">
        <f>AD24*1000/'1.Input'!$K$63</f>
        <v>109129.00100480622</v>
      </c>
      <c r="AE25" s="78">
        <f>AE24*1000/'1.Input'!$K$63</f>
        <v>109027.52749493512</v>
      </c>
      <c r="AF25" s="78">
        <f>AF24*1000/'1.Input'!$K$63</f>
        <v>108928.86940321342</v>
      </c>
      <c r="AG25" s="78">
        <f>AG24*1000/'1.Input'!$K$63</f>
        <v>108833.00757887488</v>
      </c>
      <c r="AH25" s="78">
        <f>AH24*1000/'1.Input'!$K$63</f>
        <v>108739.923107678</v>
      </c>
      <c r="AI25" s="78">
        <f>AI24*1000/'1.Input'!$K$63</f>
        <v>108649.59730976584</v>
      </c>
      <c r="AJ25" s="78">
        <f>AJ24*1000/'1.Input'!$K$63</f>
        <v>108562.01173754844</v>
      </c>
      <c r="AK25" s="78">
        <f>AK24*1000/'1.Input'!$K$63</f>
        <v>108477.14817360742</v>
      </c>
      <c r="AL25" s="78">
        <f>AL24*1000/'1.Input'!$K$63</f>
        <v>108394.9886286228</v>
      </c>
      <c r="AM25" s="78">
        <f>AM24*1000/'1.Input'!$K$63</f>
        <v>108315.51533932157</v>
      </c>
      <c r="AN25" s="78">
        <f>AN24*1000/'1.Input'!$K$63</f>
        <v>107919.39652389925</v>
      </c>
      <c r="AO25" s="78">
        <f>AO24*1000/'1.Input'!$K$63</f>
        <v>107526.71597181428</v>
      </c>
      <c r="AT25" s="74"/>
    </row>
    <row r="26" spans="1:46" s="53" customFormat="1" ht="17.25" customHeight="1" x14ac:dyDescent="0.25">
      <c r="A26" s="48"/>
      <c r="B26" s="646">
        <f>B24+1</f>
        <v>18</v>
      </c>
      <c r="C26" s="643" t="s">
        <v>176</v>
      </c>
      <c r="D26" s="83"/>
      <c r="E26" s="59" t="s">
        <v>177</v>
      </c>
      <c r="F26" s="58"/>
      <c r="G26" s="84">
        <f t="shared" ref="G26:AC26" si="27">G20/G16</f>
        <v>1.9517075812743822E-2</v>
      </c>
      <c r="H26" s="84">
        <f t="shared" si="27"/>
        <v>1.7912455043109524E-2</v>
      </c>
      <c r="I26" s="85">
        <f t="shared" si="27"/>
        <v>1.7755721061482314E-2</v>
      </c>
      <c r="J26" s="84">
        <f t="shared" si="27"/>
        <v>1.7600358502194345E-2</v>
      </c>
      <c r="K26" s="84">
        <f t="shared" si="27"/>
        <v>1.7446355365300141E-2</v>
      </c>
      <c r="L26" s="84">
        <f t="shared" si="27"/>
        <v>1.7293699755853768E-2</v>
      </c>
      <c r="M26" s="84">
        <f t="shared" si="27"/>
        <v>1.7142379882990045E-2</v>
      </c>
      <c r="N26" s="84">
        <f t="shared" si="27"/>
        <v>1.6992384059013883E-2</v>
      </c>
      <c r="O26" s="84">
        <f t="shared" si="27"/>
        <v>1.6843700698497509E-2</v>
      </c>
      <c r="P26" s="84">
        <f t="shared" si="27"/>
        <v>1.6696318317385658E-2</v>
      </c>
      <c r="Q26" s="84">
        <f t="shared" si="27"/>
        <v>1.6550225532108533E-2</v>
      </c>
      <c r="R26" s="84">
        <f t="shared" si="27"/>
        <v>1.6405411058702583E-2</v>
      </c>
      <c r="S26" s="84">
        <f t="shared" si="27"/>
        <v>1.6261863711938936E-2</v>
      </c>
      <c r="T26" s="84">
        <f t="shared" si="27"/>
        <v>1.6119572404459472E-2</v>
      </c>
      <c r="U26" s="84">
        <f t="shared" si="27"/>
        <v>1.5978526145920453E-2</v>
      </c>
      <c r="V26" s="84">
        <f t="shared" si="27"/>
        <v>1.5838714042143646E-2</v>
      </c>
      <c r="W26" s="84">
        <f t="shared" si="27"/>
        <v>1.5700125294274891E-2</v>
      </c>
      <c r="X26" s="84">
        <f t="shared" si="27"/>
        <v>1.5562749197949985E-2</v>
      </c>
      <c r="Y26" s="84">
        <f t="shared" si="27"/>
        <v>1.5426575142467923E-2</v>
      </c>
      <c r="Z26" s="84">
        <f t="shared" si="27"/>
        <v>1.5291592609971328E-2</v>
      </c>
      <c r="AA26" s="84">
        <f t="shared" si="27"/>
        <v>1.5157791174634078E-2</v>
      </c>
      <c r="AB26" s="84">
        <f t="shared" si="27"/>
        <v>1.502516050185603E-2</v>
      </c>
      <c r="AC26" s="84">
        <f t="shared" si="27"/>
        <v>1.4893690347464789E-2</v>
      </c>
      <c r="AD26" s="84">
        <f t="shared" ref="AD26:AO26" si="28">AD20/AD16</f>
        <v>1.4893690347464791E-2</v>
      </c>
      <c r="AE26" s="84">
        <f t="shared" si="28"/>
        <v>1.4893690347464789E-2</v>
      </c>
      <c r="AF26" s="84">
        <f t="shared" si="28"/>
        <v>1.4893690347464791E-2</v>
      </c>
      <c r="AG26" s="84">
        <f t="shared" si="28"/>
        <v>1.4893690347464791E-2</v>
      </c>
      <c r="AH26" s="84">
        <f t="shared" si="28"/>
        <v>1.4893690347464791E-2</v>
      </c>
      <c r="AI26" s="84">
        <f t="shared" si="28"/>
        <v>1.4893690347464791E-2</v>
      </c>
      <c r="AJ26" s="84">
        <f t="shared" si="28"/>
        <v>1.4893690347464791E-2</v>
      </c>
      <c r="AK26" s="84">
        <f t="shared" si="28"/>
        <v>1.4893690347464792E-2</v>
      </c>
      <c r="AL26" s="84">
        <f t="shared" si="28"/>
        <v>1.4893690347464792E-2</v>
      </c>
      <c r="AM26" s="84">
        <f t="shared" si="28"/>
        <v>1.4893690347464792E-2</v>
      </c>
      <c r="AN26" s="84">
        <f t="shared" si="28"/>
        <v>1.4788638621605373E-2</v>
      </c>
      <c r="AO26" s="84">
        <f t="shared" si="28"/>
        <v>1.4683501479379579E-2</v>
      </c>
      <c r="AT26" s="48"/>
    </row>
    <row r="27" spans="1:46" s="53" customFormat="1" ht="27" x14ac:dyDescent="0.25">
      <c r="A27" s="48"/>
      <c r="B27" s="646"/>
      <c r="C27" s="644"/>
      <c r="D27" s="83"/>
      <c r="E27" s="59" t="s">
        <v>178</v>
      </c>
      <c r="F27" s="58"/>
      <c r="G27" s="73">
        <f t="shared" ref="G27:AO27" si="29">G26*1000/4.1868</f>
        <v>4.6615734720416127</v>
      </c>
      <c r="H27" s="60">
        <f t="shared" si="29"/>
        <v>4.2783163855712063</v>
      </c>
      <c r="I27" s="86">
        <f t="shared" si="29"/>
        <v>4.2408811171974579</v>
      </c>
      <c r="J27" s="73">
        <f t="shared" si="29"/>
        <v>4.2037734074219806</v>
      </c>
      <c r="K27" s="73">
        <f t="shared" si="29"/>
        <v>4.1669903901070375</v>
      </c>
      <c r="L27" s="73">
        <f t="shared" si="29"/>
        <v>4.1305292241936016</v>
      </c>
      <c r="M27" s="73">
        <f t="shared" si="29"/>
        <v>4.0943870934819069</v>
      </c>
      <c r="N27" s="73">
        <f t="shared" si="29"/>
        <v>4.0585612064139402</v>
      </c>
      <c r="O27" s="73">
        <f t="shared" si="29"/>
        <v>4.023048795857818</v>
      </c>
      <c r="P27" s="73">
        <f t="shared" si="29"/>
        <v>3.9878471188940616</v>
      </c>
      <c r="Q27" s="73">
        <f t="shared" si="29"/>
        <v>3.9529534566037392</v>
      </c>
      <c r="R27" s="73">
        <f t="shared" si="29"/>
        <v>3.9183651138584561</v>
      </c>
      <c r="S27" s="73">
        <f t="shared" si="29"/>
        <v>3.8840794191121946</v>
      </c>
      <c r="T27" s="73">
        <f t="shared" si="29"/>
        <v>3.8500937241949633</v>
      </c>
      <c r="U27" s="73">
        <f t="shared" si="29"/>
        <v>3.8164054041082576</v>
      </c>
      <c r="V27" s="73">
        <f t="shared" si="29"/>
        <v>3.7830118568223097</v>
      </c>
      <c r="W27" s="73">
        <f t="shared" si="29"/>
        <v>3.7499105030751148</v>
      </c>
      <c r="X27" s="73">
        <f t="shared" si="29"/>
        <v>3.7170987861732079</v>
      </c>
      <c r="Y27" s="73">
        <f t="shared" si="29"/>
        <v>3.6845741717941922</v>
      </c>
      <c r="Z27" s="73">
        <f t="shared" si="29"/>
        <v>3.652334147790993</v>
      </c>
      <c r="AA27" s="73">
        <f t="shared" si="29"/>
        <v>3.6203762239978214</v>
      </c>
      <c r="AB27" s="73">
        <f t="shared" si="29"/>
        <v>3.5886979320378405</v>
      </c>
      <c r="AC27" s="73">
        <f t="shared" si="29"/>
        <v>3.557296825132509</v>
      </c>
      <c r="AD27" s="73">
        <f t="shared" si="29"/>
        <v>3.5572968251325094</v>
      </c>
      <c r="AE27" s="73">
        <f t="shared" si="29"/>
        <v>3.557296825132509</v>
      </c>
      <c r="AF27" s="73">
        <f t="shared" si="29"/>
        <v>3.5572968251325094</v>
      </c>
      <c r="AG27" s="73">
        <f t="shared" si="29"/>
        <v>3.5572968251325094</v>
      </c>
      <c r="AH27" s="73">
        <f t="shared" si="29"/>
        <v>3.5572968251325094</v>
      </c>
      <c r="AI27" s="73">
        <f t="shared" si="29"/>
        <v>3.5572968251325094</v>
      </c>
      <c r="AJ27" s="73">
        <f t="shared" si="29"/>
        <v>3.5572968251325094</v>
      </c>
      <c r="AK27" s="73">
        <f t="shared" si="29"/>
        <v>3.5572968251325099</v>
      </c>
      <c r="AL27" s="73">
        <f t="shared" si="29"/>
        <v>3.5572968251325099</v>
      </c>
      <c r="AM27" s="73">
        <f t="shared" si="29"/>
        <v>3.5572968251325099</v>
      </c>
      <c r="AN27" s="73">
        <f t="shared" si="29"/>
        <v>3.532205651477351</v>
      </c>
      <c r="AO27" s="73">
        <f t="shared" si="29"/>
        <v>3.507094076473579</v>
      </c>
      <c r="AT27" s="48"/>
    </row>
    <row r="28" spans="1:46" s="53" customFormat="1" ht="27" x14ac:dyDescent="0.25">
      <c r="A28" s="48"/>
      <c r="B28" s="646"/>
      <c r="C28" s="645"/>
      <c r="D28" s="83"/>
      <c r="E28" s="68" t="s">
        <v>179</v>
      </c>
      <c r="F28" s="67"/>
      <c r="G28" s="73">
        <f t="shared" ref="G28:AO28" si="30">G27*1.162*1000/50</f>
        <v>108.33496749024707</v>
      </c>
      <c r="H28" s="73">
        <f t="shared" si="30"/>
        <v>99.428072800674812</v>
      </c>
      <c r="I28" s="73">
        <f t="shared" si="30"/>
        <v>98.558077163668912</v>
      </c>
      <c r="J28" s="73">
        <f t="shared" si="30"/>
        <v>97.695693988486823</v>
      </c>
      <c r="K28" s="73">
        <f t="shared" si="30"/>
        <v>96.840856666087547</v>
      </c>
      <c r="L28" s="73">
        <f t="shared" si="30"/>
        <v>95.993499170259298</v>
      </c>
      <c r="M28" s="73">
        <f t="shared" si="30"/>
        <v>95.153556052519505</v>
      </c>
      <c r="N28" s="73">
        <f t="shared" si="30"/>
        <v>94.320962437059976</v>
      </c>
      <c r="O28" s="73">
        <f t="shared" si="30"/>
        <v>93.495654015735695</v>
      </c>
      <c r="P28" s="73">
        <f t="shared" si="30"/>
        <v>92.677567043097994</v>
      </c>
      <c r="Q28" s="73">
        <f t="shared" si="30"/>
        <v>91.866638331470881</v>
      </c>
      <c r="R28" s="73">
        <f t="shared" si="30"/>
        <v>91.062805246070511</v>
      </c>
      <c r="S28" s="73">
        <f t="shared" si="30"/>
        <v>90.266005700167412</v>
      </c>
      <c r="T28" s="73">
        <f t="shared" si="30"/>
        <v>89.476178150290949</v>
      </c>
      <c r="U28" s="73">
        <f t="shared" si="30"/>
        <v>88.693261591475888</v>
      </c>
      <c r="V28" s="73">
        <f t="shared" si="30"/>
        <v>87.917195552550481</v>
      </c>
      <c r="W28" s="73">
        <f t="shared" si="30"/>
        <v>87.147920091465664</v>
      </c>
      <c r="X28" s="73">
        <f t="shared" si="30"/>
        <v>86.38537579066535</v>
      </c>
      <c r="Y28" s="73">
        <f t="shared" si="30"/>
        <v>85.629503752497016</v>
      </c>
      <c r="Z28" s="73">
        <f t="shared" si="30"/>
        <v>84.880245594662668</v>
      </c>
      <c r="AA28" s="73">
        <f t="shared" si="30"/>
        <v>84.137543445709355</v>
      </c>
      <c r="AB28" s="73">
        <f t="shared" si="30"/>
        <v>83.40133994055941</v>
      </c>
      <c r="AC28" s="73">
        <f t="shared" si="30"/>
        <v>82.67157821607951</v>
      </c>
      <c r="AD28" s="73">
        <f t="shared" si="30"/>
        <v>82.67157821607951</v>
      </c>
      <c r="AE28" s="73">
        <f t="shared" si="30"/>
        <v>82.67157821607951</v>
      </c>
      <c r="AF28" s="73">
        <f t="shared" si="30"/>
        <v>82.67157821607951</v>
      </c>
      <c r="AG28" s="73">
        <f t="shared" si="30"/>
        <v>82.67157821607951</v>
      </c>
      <c r="AH28" s="73">
        <f t="shared" si="30"/>
        <v>82.67157821607951</v>
      </c>
      <c r="AI28" s="73">
        <f t="shared" si="30"/>
        <v>82.67157821607951</v>
      </c>
      <c r="AJ28" s="73">
        <f t="shared" si="30"/>
        <v>82.67157821607951</v>
      </c>
      <c r="AK28" s="73">
        <f t="shared" si="30"/>
        <v>82.671578216079524</v>
      </c>
      <c r="AL28" s="73">
        <f t="shared" si="30"/>
        <v>82.671578216079524</v>
      </c>
      <c r="AM28" s="73">
        <f t="shared" si="30"/>
        <v>82.671578216079524</v>
      </c>
      <c r="AN28" s="73">
        <f t="shared" si="30"/>
        <v>82.088459340333628</v>
      </c>
      <c r="AO28" s="73">
        <f t="shared" si="30"/>
        <v>81.504866337245971</v>
      </c>
      <c r="AT28" s="48"/>
    </row>
    <row r="29" spans="1:46" s="53" customFormat="1" ht="27" x14ac:dyDescent="0.25">
      <c r="A29" s="48"/>
      <c r="B29" s="56">
        <f>B26+1</f>
        <v>19</v>
      </c>
      <c r="C29" s="87" t="s">
        <v>180</v>
      </c>
      <c r="D29" s="88"/>
      <c r="E29" s="89" t="s">
        <v>181</v>
      </c>
      <c r="F29" s="90"/>
      <c r="G29" s="73">
        <f t="shared" ref="G29:AC29" si="31">G21/G17</f>
        <v>0.11074300341296928</v>
      </c>
      <c r="H29" s="60">
        <f t="shared" si="31"/>
        <v>0.15564544870848707</v>
      </c>
      <c r="I29" s="61">
        <f t="shared" si="31"/>
        <v>0.15292165335608857</v>
      </c>
      <c r="J29" s="60">
        <f t="shared" si="31"/>
        <v>0.150245524422357</v>
      </c>
      <c r="K29" s="60">
        <f t="shared" si="31"/>
        <v>0.14761622774496577</v>
      </c>
      <c r="L29" s="60">
        <f t="shared" si="31"/>
        <v>0.14503294375942888</v>
      </c>
      <c r="M29" s="60">
        <f t="shared" si="31"/>
        <v>0.14249486724363886</v>
      </c>
      <c r="N29" s="60">
        <f t="shared" si="31"/>
        <v>0.14000120706687519</v>
      </c>
      <c r="O29" s="60">
        <f t="shared" si="31"/>
        <v>0.13755118594320487</v>
      </c>
      <c r="P29" s="60">
        <f t="shared" si="31"/>
        <v>0.13514404018919879</v>
      </c>
      <c r="Q29" s="60">
        <f t="shared" si="31"/>
        <v>0.1327790194858878</v>
      </c>
      <c r="R29" s="60">
        <f t="shared" si="31"/>
        <v>0.13045538664488476</v>
      </c>
      <c r="S29" s="60">
        <f t="shared" si="31"/>
        <v>0.13045538664488476</v>
      </c>
      <c r="T29" s="60">
        <f t="shared" si="31"/>
        <v>0.13045538664488476</v>
      </c>
      <c r="U29" s="60">
        <f t="shared" si="31"/>
        <v>0.13045538664488476</v>
      </c>
      <c r="V29" s="60">
        <f t="shared" si="31"/>
        <v>0.13045538664488476</v>
      </c>
      <c r="W29" s="60">
        <f t="shared" si="31"/>
        <v>0.13045538664488476</v>
      </c>
      <c r="X29" s="60">
        <f t="shared" si="31"/>
        <v>0.13045538664488476</v>
      </c>
      <c r="Y29" s="60">
        <f t="shared" si="31"/>
        <v>0.13045538664488476</v>
      </c>
      <c r="Z29" s="60">
        <f t="shared" si="31"/>
        <v>0.13045538664488476</v>
      </c>
      <c r="AA29" s="60">
        <f t="shared" si="31"/>
        <v>0.13045538664488476</v>
      </c>
      <c r="AB29" s="60">
        <f t="shared" si="31"/>
        <v>0.13045538664488476</v>
      </c>
      <c r="AC29" s="60">
        <f t="shared" si="31"/>
        <v>0.13045538664488476</v>
      </c>
      <c r="AD29" s="60">
        <f t="shared" ref="AD29:AO29" si="32">AD21/AD17</f>
        <v>0.13045538664488476</v>
      </c>
      <c r="AE29" s="60">
        <f t="shared" si="32"/>
        <v>0.13045538664488476</v>
      </c>
      <c r="AF29" s="60">
        <f t="shared" si="32"/>
        <v>0.13045538664488476</v>
      </c>
      <c r="AG29" s="60">
        <f t="shared" si="32"/>
        <v>0.13045538664488476</v>
      </c>
      <c r="AH29" s="60">
        <f t="shared" si="32"/>
        <v>0.13045538664488476</v>
      </c>
      <c r="AI29" s="60">
        <f t="shared" si="32"/>
        <v>0.13045538664488476</v>
      </c>
      <c r="AJ29" s="60">
        <f t="shared" si="32"/>
        <v>0.13045538664488476</v>
      </c>
      <c r="AK29" s="60">
        <f t="shared" si="32"/>
        <v>0.13045538664488476</v>
      </c>
      <c r="AL29" s="60">
        <f t="shared" si="32"/>
        <v>0.13045538664488476</v>
      </c>
      <c r="AM29" s="73">
        <f t="shared" si="32"/>
        <v>0.13045538664488476</v>
      </c>
      <c r="AN29" s="73">
        <f t="shared" si="32"/>
        <v>0.13045538664488476</v>
      </c>
      <c r="AO29" s="73">
        <f t="shared" si="32"/>
        <v>0.13045538664488476</v>
      </c>
      <c r="AT29" s="48"/>
    </row>
    <row r="30" spans="1:46" s="53" customFormat="1" ht="13.5" x14ac:dyDescent="0.25">
      <c r="A30" s="48"/>
      <c r="G30" s="91"/>
      <c r="H30" s="91"/>
      <c r="I30" s="477">
        <f>AB25/I25-1</f>
        <v>-0.25638177198635992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T30" s="48"/>
    </row>
    <row r="31" spans="1:46" s="53" customFormat="1" ht="13.5" x14ac:dyDescent="0.25">
      <c r="A31" s="48"/>
      <c r="B31" s="53">
        <f>B29+1</f>
        <v>20</v>
      </c>
      <c r="C31" s="92" t="s">
        <v>182</v>
      </c>
      <c r="D31" s="93"/>
      <c r="E31" s="94"/>
      <c r="F31" s="95"/>
      <c r="G31" s="469">
        <f>'2.BilantNOPRO'!G31</f>
        <v>7324</v>
      </c>
      <c r="H31" s="469">
        <f>'2.BilantNOPRO'!H31</f>
        <v>7129.1815999999999</v>
      </c>
      <c r="I31" s="469">
        <f>'2.BilantNOPRO'!I31</f>
        <v>6939.5453694400003</v>
      </c>
      <c r="J31" s="469">
        <f>'2.BilantNOPRO'!J31</f>
        <v>6754.9534626128961</v>
      </c>
      <c r="K31" s="469">
        <f>'2.BilantNOPRO'!K31</f>
        <v>6575.2717005073928</v>
      </c>
      <c r="L31" s="148">
        <f>K31-K31*2.07%</f>
        <v>6439.1635763068898</v>
      </c>
      <c r="M31" s="148">
        <f>L31-L31*1.65%</f>
        <v>6332.9173772978265</v>
      </c>
      <c r="N31" s="148">
        <f>M31-M31*1.6%</f>
        <v>6231.5906992610617</v>
      </c>
      <c r="O31" s="96">
        <f>N31+N31*0.5%</f>
        <v>6262.7486527573674</v>
      </c>
      <c r="P31" s="96">
        <f t="shared" ref="P31:AO31" si="33">O31+O31*0.5%</f>
        <v>6294.0623960211542</v>
      </c>
      <c r="Q31" s="96">
        <f t="shared" si="33"/>
        <v>6325.5327080012603</v>
      </c>
      <c r="R31" s="96">
        <f t="shared" si="33"/>
        <v>6357.1603715412666</v>
      </c>
      <c r="S31" s="96">
        <f t="shared" si="33"/>
        <v>6388.9461733989729</v>
      </c>
      <c r="T31" s="96">
        <f t="shared" si="33"/>
        <v>6420.8909042659679</v>
      </c>
      <c r="U31" s="96">
        <f t="shared" si="33"/>
        <v>6452.9953587872978</v>
      </c>
      <c r="V31" s="96">
        <f t="shared" si="33"/>
        <v>6485.2603355812344</v>
      </c>
      <c r="W31" s="96">
        <f t="shared" si="33"/>
        <v>6517.6866372591403</v>
      </c>
      <c r="X31" s="96">
        <f t="shared" si="33"/>
        <v>6550.2750704454356</v>
      </c>
      <c r="Y31" s="96">
        <f t="shared" si="33"/>
        <v>6583.0264457976627</v>
      </c>
      <c r="Z31" s="96">
        <f t="shared" si="33"/>
        <v>6615.9415780266509</v>
      </c>
      <c r="AA31" s="96">
        <f t="shared" si="33"/>
        <v>6649.0212859167841</v>
      </c>
      <c r="AB31" s="96">
        <f t="shared" si="33"/>
        <v>6682.2663923463679</v>
      </c>
      <c r="AC31" s="96">
        <f t="shared" si="33"/>
        <v>6715.6777243080996</v>
      </c>
      <c r="AD31" s="96">
        <f t="shared" si="33"/>
        <v>6749.25611292964</v>
      </c>
      <c r="AE31" s="96">
        <f t="shared" si="33"/>
        <v>6783.0023934942883</v>
      </c>
      <c r="AF31" s="96">
        <f t="shared" si="33"/>
        <v>6816.9174054617597</v>
      </c>
      <c r="AG31" s="96">
        <f t="shared" si="33"/>
        <v>6851.0019924890685</v>
      </c>
      <c r="AH31" s="96">
        <f t="shared" si="33"/>
        <v>6885.2570024515135</v>
      </c>
      <c r="AI31" s="96">
        <f t="shared" si="33"/>
        <v>6919.6832874637712</v>
      </c>
      <c r="AJ31" s="96">
        <f t="shared" si="33"/>
        <v>6954.2817039010897</v>
      </c>
      <c r="AK31" s="96">
        <f t="shared" si="33"/>
        <v>6989.0531124205954</v>
      </c>
      <c r="AL31" s="96">
        <f t="shared" si="33"/>
        <v>7023.998377982698</v>
      </c>
      <c r="AM31" s="96">
        <f t="shared" si="33"/>
        <v>7059.1183698726118</v>
      </c>
      <c r="AN31" s="96">
        <f t="shared" si="33"/>
        <v>7094.4139617219744</v>
      </c>
      <c r="AO31" s="96">
        <f t="shared" si="33"/>
        <v>7129.8860315305847</v>
      </c>
      <c r="AT31" s="48"/>
    </row>
    <row r="32" spans="1:46" s="53" customFormat="1" ht="13.5" x14ac:dyDescent="0.25">
      <c r="A32" s="48"/>
      <c r="B32" s="53">
        <f>B31+1</f>
        <v>21</v>
      </c>
      <c r="C32" s="92" t="s">
        <v>183</v>
      </c>
      <c r="D32" s="93"/>
      <c r="E32" s="94"/>
      <c r="F32" s="95"/>
      <c r="G32" s="469">
        <f>'2.BilantNOPRO'!G32</f>
        <v>8056</v>
      </c>
      <c r="H32" s="469">
        <f>'2.BilantNOPRO'!H32</f>
        <v>7927.9096</v>
      </c>
      <c r="I32" s="469">
        <f>'2.BilantNOPRO'!I32</f>
        <v>7801.8558373599999</v>
      </c>
      <c r="J32" s="469">
        <f>'2.BilantNOPRO'!J32</f>
        <v>7677.806329545976</v>
      </c>
      <c r="K32" s="469">
        <f>'2.BilantNOPRO'!K32</f>
        <v>7555.7292089061948</v>
      </c>
      <c r="L32" s="148">
        <f>K32-K32*1.24%</f>
        <v>7462.0381667157581</v>
      </c>
      <c r="M32" s="148">
        <f>L32-L32*1%</f>
        <v>7387.4177850486003</v>
      </c>
      <c r="N32" s="96">
        <f t="shared" ref="N32:AO32" si="34">M32-M32*1%</f>
        <v>7313.5436071981139</v>
      </c>
      <c r="O32" s="96">
        <f t="shared" si="34"/>
        <v>7240.4081711261324</v>
      </c>
      <c r="P32" s="96">
        <f t="shared" si="34"/>
        <v>7168.0040894148715</v>
      </c>
      <c r="Q32" s="96">
        <f t="shared" si="34"/>
        <v>7096.3240485207225</v>
      </c>
      <c r="R32" s="96">
        <f t="shared" si="34"/>
        <v>7025.3608080355152</v>
      </c>
      <c r="S32" s="96">
        <f t="shared" si="34"/>
        <v>6955.1071999551605</v>
      </c>
      <c r="T32" s="96">
        <f t="shared" si="34"/>
        <v>6885.5561279556086</v>
      </c>
      <c r="U32" s="96">
        <f t="shared" si="34"/>
        <v>6816.7005666760524</v>
      </c>
      <c r="V32" s="96">
        <f t="shared" si="34"/>
        <v>6748.5335610092916</v>
      </c>
      <c r="W32" s="96">
        <f t="shared" si="34"/>
        <v>6681.0482253991986</v>
      </c>
      <c r="X32" s="96">
        <f t="shared" si="34"/>
        <v>6614.2377431452069</v>
      </c>
      <c r="Y32" s="96">
        <f t="shared" si="34"/>
        <v>6548.0953657137552</v>
      </c>
      <c r="Z32" s="96">
        <f t="shared" si="34"/>
        <v>6482.6144120566178</v>
      </c>
      <c r="AA32" s="96">
        <f t="shared" si="34"/>
        <v>6417.7882679360519</v>
      </c>
      <c r="AB32" s="96">
        <f t="shared" si="34"/>
        <v>6353.6103852566912</v>
      </c>
      <c r="AC32" s="96">
        <f t="shared" si="34"/>
        <v>6290.0742814041241</v>
      </c>
      <c r="AD32" s="96">
        <f t="shared" si="34"/>
        <v>6227.1735385900829</v>
      </c>
      <c r="AE32" s="96">
        <f t="shared" si="34"/>
        <v>6164.9018032041822</v>
      </c>
      <c r="AF32" s="96">
        <f t="shared" si="34"/>
        <v>6103.2527851721406</v>
      </c>
      <c r="AG32" s="96">
        <f t="shared" si="34"/>
        <v>6042.2202573204195</v>
      </c>
      <c r="AH32" s="96">
        <f t="shared" si="34"/>
        <v>5981.7980547472152</v>
      </c>
      <c r="AI32" s="96">
        <f t="shared" si="34"/>
        <v>5921.9800741997433</v>
      </c>
      <c r="AJ32" s="96">
        <f t="shared" si="34"/>
        <v>5862.7602734577458</v>
      </c>
      <c r="AK32" s="96">
        <f t="shared" si="34"/>
        <v>5804.1326707231683</v>
      </c>
      <c r="AL32" s="96">
        <f t="shared" si="34"/>
        <v>5746.0913440159366</v>
      </c>
      <c r="AM32" s="96">
        <f t="shared" si="34"/>
        <v>5688.6304305757776</v>
      </c>
      <c r="AN32" s="96">
        <f t="shared" si="34"/>
        <v>5631.7441262700195</v>
      </c>
      <c r="AO32" s="96">
        <f t="shared" si="34"/>
        <v>5575.4266850073191</v>
      </c>
      <c r="AT32" s="48"/>
    </row>
    <row r="33" spans="1:46" s="80" customFormat="1" ht="15" x14ac:dyDescent="0.3">
      <c r="A33" s="74"/>
      <c r="B33" s="53">
        <f t="shared" ref="B33:B34" si="35">B32+1</f>
        <v>22</v>
      </c>
      <c r="C33" s="98" t="s">
        <v>184</v>
      </c>
      <c r="D33" s="99"/>
      <c r="E33" s="100"/>
      <c r="F33" s="101"/>
      <c r="G33" s="102">
        <f>SUM(G31:G32)</f>
        <v>15380</v>
      </c>
      <c r="H33" s="102">
        <f t="shared" ref="H33:AO33" si="36">SUM(H31:H32)</f>
        <v>15057.091199999999</v>
      </c>
      <c r="I33" s="102">
        <f t="shared" si="36"/>
        <v>14741.401206800001</v>
      </c>
      <c r="J33" s="102">
        <f t="shared" si="36"/>
        <v>14432.759792158871</v>
      </c>
      <c r="K33" s="102">
        <f t="shared" si="36"/>
        <v>14131.000909413588</v>
      </c>
      <c r="L33" s="102">
        <f t="shared" si="36"/>
        <v>13901.201743022648</v>
      </c>
      <c r="M33" s="102">
        <f t="shared" si="36"/>
        <v>13720.335162346426</v>
      </c>
      <c r="N33" s="102">
        <f t="shared" si="36"/>
        <v>13545.134306459175</v>
      </c>
      <c r="O33" s="102">
        <f t="shared" si="36"/>
        <v>13503.156823883499</v>
      </c>
      <c r="P33" s="102">
        <f t="shared" si="36"/>
        <v>13462.066485436026</v>
      </c>
      <c r="Q33" s="102">
        <f t="shared" si="36"/>
        <v>13421.856756521982</v>
      </c>
      <c r="R33" s="102">
        <f t="shared" si="36"/>
        <v>13382.521179576783</v>
      </c>
      <c r="S33" s="102">
        <f t="shared" si="36"/>
        <v>13344.053373354134</v>
      </c>
      <c r="T33" s="102">
        <f t="shared" si="36"/>
        <v>13306.447032221577</v>
      </c>
      <c r="U33" s="102">
        <f t="shared" si="36"/>
        <v>13269.695925463351</v>
      </c>
      <c r="V33" s="102">
        <f t="shared" si="36"/>
        <v>13233.793896590527</v>
      </c>
      <c r="W33" s="102">
        <f t="shared" si="36"/>
        <v>13198.734862658339</v>
      </c>
      <c r="X33" s="102">
        <f t="shared" si="36"/>
        <v>13164.512813590642</v>
      </c>
      <c r="Y33" s="102">
        <f t="shared" si="36"/>
        <v>13131.121811511417</v>
      </c>
      <c r="Z33" s="102">
        <f t="shared" si="36"/>
        <v>13098.555990083269</v>
      </c>
      <c r="AA33" s="102">
        <f t="shared" si="36"/>
        <v>13066.809553852836</v>
      </c>
      <c r="AB33" s="102">
        <f t="shared" si="36"/>
        <v>13035.876777603058</v>
      </c>
      <c r="AC33" s="102">
        <f t="shared" si="36"/>
        <v>13005.752005712224</v>
      </c>
      <c r="AD33" s="102">
        <f t="shared" si="36"/>
        <v>12976.429651519724</v>
      </c>
      <c r="AE33" s="102">
        <f t="shared" si="36"/>
        <v>12947.90419669847</v>
      </c>
      <c r="AF33" s="102">
        <f t="shared" si="36"/>
        <v>12920.1701906339</v>
      </c>
      <c r="AG33" s="102">
        <f t="shared" si="36"/>
        <v>12893.222249809489</v>
      </c>
      <c r="AH33" s="102">
        <f t="shared" si="36"/>
        <v>12867.05505719873</v>
      </c>
      <c r="AI33" s="102">
        <f t="shared" si="36"/>
        <v>12841.663361663515</v>
      </c>
      <c r="AJ33" s="102">
        <f t="shared" si="36"/>
        <v>12817.041977358836</v>
      </c>
      <c r="AK33" s="102">
        <f t="shared" si="36"/>
        <v>12793.185783143763</v>
      </c>
      <c r="AL33" s="102">
        <f t="shared" si="36"/>
        <v>12770.089721998635</v>
      </c>
      <c r="AM33" s="102">
        <f t="shared" si="36"/>
        <v>12747.748800448389</v>
      </c>
      <c r="AN33" s="102">
        <f t="shared" si="36"/>
        <v>12726.158087991993</v>
      </c>
      <c r="AO33" s="102">
        <f t="shared" si="36"/>
        <v>12705.312716537905</v>
      </c>
      <c r="AT33" s="74"/>
    </row>
    <row r="34" spans="1:46" s="53" customFormat="1" ht="13.5" x14ac:dyDescent="0.25">
      <c r="A34" s="48"/>
      <c r="B34" s="53">
        <f t="shared" si="35"/>
        <v>23</v>
      </c>
      <c r="C34" s="92" t="s">
        <v>185</v>
      </c>
      <c r="D34" s="93"/>
      <c r="E34" s="94"/>
      <c r="F34" s="95"/>
      <c r="G34" s="96">
        <f>'2.BilantNOPRO'!G34</f>
        <v>485</v>
      </c>
      <c r="H34" s="96">
        <f t="shared" ref="H34:AO34" si="37">G33-H33</f>
        <v>322.90880000000107</v>
      </c>
      <c r="I34" s="97">
        <f t="shared" si="37"/>
        <v>315.68999319999784</v>
      </c>
      <c r="J34" s="96">
        <f t="shared" si="37"/>
        <v>308.64141464112981</v>
      </c>
      <c r="K34" s="96">
        <f t="shared" si="37"/>
        <v>301.7588827452837</v>
      </c>
      <c r="L34" s="96">
        <f t="shared" si="37"/>
        <v>229.79916639093972</v>
      </c>
      <c r="M34" s="96">
        <f t="shared" si="37"/>
        <v>180.86658067622193</v>
      </c>
      <c r="N34" s="96">
        <f t="shared" si="37"/>
        <v>175.20085588725124</v>
      </c>
      <c r="O34" s="96">
        <f t="shared" si="37"/>
        <v>41.977482575675822</v>
      </c>
      <c r="P34" s="96">
        <f t="shared" si="37"/>
        <v>41.090338447473187</v>
      </c>
      <c r="Q34" s="96">
        <f t="shared" si="37"/>
        <v>40.209728914043808</v>
      </c>
      <c r="R34" s="96">
        <f t="shared" si="37"/>
        <v>39.335576945199136</v>
      </c>
      <c r="S34" s="96">
        <f t="shared" si="37"/>
        <v>38.467806222648505</v>
      </c>
      <c r="T34" s="96">
        <f t="shared" si="37"/>
        <v>37.606341132557645</v>
      </c>
      <c r="U34" s="96">
        <f t="shared" si="37"/>
        <v>36.751106758225433</v>
      </c>
      <c r="V34" s="96">
        <f t="shared" si="37"/>
        <v>35.902028872824303</v>
      </c>
      <c r="W34" s="96">
        <f t="shared" si="37"/>
        <v>35.059033932187958</v>
      </c>
      <c r="X34" s="96">
        <f t="shared" si="37"/>
        <v>34.222049067697299</v>
      </c>
      <c r="Y34" s="96">
        <f t="shared" si="37"/>
        <v>33.391002079224563</v>
      </c>
      <c r="Z34" s="96">
        <f t="shared" si="37"/>
        <v>32.565821428148411</v>
      </c>
      <c r="AA34" s="96">
        <f t="shared" si="37"/>
        <v>31.746436230432664</v>
      </c>
      <c r="AB34" s="96">
        <f t="shared" si="37"/>
        <v>30.932776249777817</v>
      </c>
      <c r="AC34" s="96">
        <f t="shared" si="37"/>
        <v>30.124771890834381</v>
      </c>
      <c r="AD34" s="96">
        <f t="shared" si="37"/>
        <v>29.322354192499915</v>
      </c>
      <c r="AE34" s="96">
        <f t="shared" si="37"/>
        <v>28.525454821254243</v>
      </c>
      <c r="AF34" s="96">
        <f t="shared" si="37"/>
        <v>27.734006064569257</v>
      </c>
      <c r="AG34" s="96">
        <f t="shared" si="37"/>
        <v>26.947940824411489</v>
      </c>
      <c r="AH34" s="96">
        <f t="shared" si="37"/>
        <v>26.16719261075923</v>
      </c>
      <c r="AI34" s="96">
        <f t="shared" si="37"/>
        <v>25.391695535214239</v>
      </c>
      <c r="AJ34" s="96">
        <f t="shared" si="37"/>
        <v>24.621384304678941</v>
      </c>
      <c r="AK34" s="96">
        <f t="shared" si="37"/>
        <v>23.856194215073629</v>
      </c>
      <c r="AL34" s="96">
        <f t="shared" si="37"/>
        <v>23.09606114512826</v>
      </c>
      <c r="AM34" s="96">
        <f t="shared" si="37"/>
        <v>22.340921550245184</v>
      </c>
      <c r="AN34" s="96">
        <f t="shared" si="37"/>
        <v>21.590712456396432</v>
      </c>
      <c r="AO34" s="96">
        <f t="shared" si="37"/>
        <v>20.845371454088308</v>
      </c>
      <c r="AT34" s="48"/>
    </row>
    <row r="35" spans="1:46" s="53" customFormat="1" ht="13.5" x14ac:dyDescent="0.25">
      <c r="A35" s="48"/>
      <c r="G35" s="91"/>
      <c r="H35" s="476">
        <f>H23/G23-1</f>
        <v>-2.167201222984938E-2</v>
      </c>
      <c r="I35" s="103"/>
      <c r="J35" s="69"/>
      <c r="K35" s="69"/>
      <c r="L35" s="69"/>
      <c r="M35" s="69"/>
      <c r="N35" s="69"/>
      <c r="O35" s="69"/>
      <c r="P35" s="69"/>
      <c r="Q35" s="69"/>
      <c r="R35" s="69"/>
      <c r="S35" s="91"/>
      <c r="T35" s="91"/>
      <c r="U35" s="91"/>
      <c r="V35" s="91"/>
      <c r="W35" s="91"/>
      <c r="X35" s="91"/>
      <c r="Y35" s="91"/>
      <c r="Z35" s="91"/>
      <c r="AA35" s="91"/>
      <c r="AB35" s="91"/>
      <c r="AT35" s="48"/>
    </row>
    <row r="36" spans="1:46" s="53" customFormat="1" ht="14.25" thickBot="1" x14ac:dyDescent="0.3">
      <c r="A36" s="48"/>
      <c r="B36" s="48"/>
      <c r="C36" s="48"/>
      <c r="D36" s="48"/>
      <c r="E36" s="48"/>
      <c r="F36" s="48"/>
      <c r="G36" s="48"/>
      <c r="H36" s="48"/>
      <c r="I36" s="52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 spans="1:46" s="53" customFormat="1" ht="17.25" thickBot="1" x14ac:dyDescent="0.3">
      <c r="A37" s="48"/>
      <c r="B37" s="48"/>
      <c r="C37" s="615" t="s">
        <v>586</v>
      </c>
      <c r="D37" s="616"/>
      <c r="E37" s="616"/>
      <c r="F37" s="616"/>
      <c r="G37" s="616"/>
      <c r="H37" s="617"/>
      <c r="I37" s="5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 spans="1:46" s="53" customFormat="1" ht="14.25" thickBot="1" x14ac:dyDescent="0.3">
      <c r="A38" s="48"/>
      <c r="B38" s="54"/>
      <c r="C38" s="54"/>
      <c r="D38" s="54"/>
      <c r="E38" s="54"/>
      <c r="F38" s="54"/>
      <c r="G38" s="104"/>
      <c r="H38" s="104"/>
      <c r="I38" s="105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T38" s="48"/>
    </row>
    <row r="39" spans="1:46" s="53" customFormat="1" ht="15.75" thickBot="1" x14ac:dyDescent="0.3">
      <c r="A39" s="48"/>
      <c r="B39" s="54"/>
      <c r="C39" s="106" t="s">
        <v>214</v>
      </c>
      <c r="D39" s="54"/>
      <c r="E39" s="54"/>
      <c r="F39" s="54"/>
      <c r="G39" s="104"/>
      <c r="H39" s="104"/>
      <c r="I39" s="105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T39" s="48"/>
    </row>
    <row r="40" spans="1:46" s="53" customFormat="1" ht="13.5" x14ac:dyDescent="0.25">
      <c r="A40" s="48"/>
      <c r="B40" s="107">
        <f>B34+1</f>
        <v>24</v>
      </c>
      <c r="C40" s="108" t="s">
        <v>187</v>
      </c>
      <c r="D40" s="109"/>
      <c r="E40" s="110" t="s">
        <v>188</v>
      </c>
      <c r="F40" s="88"/>
      <c r="G40" s="73">
        <f t="shared" ref="G40:AO40" si="38">G24</f>
        <v>644.41969559999995</v>
      </c>
      <c r="H40" s="73">
        <f t="shared" si="38"/>
        <v>627.36685919999991</v>
      </c>
      <c r="I40" s="86">
        <f t="shared" si="38"/>
        <v>617.92530080233951</v>
      </c>
      <c r="J40" s="73">
        <f t="shared" si="38"/>
        <v>608.75237755496948</v>
      </c>
      <c r="K40" s="73">
        <f t="shared" si="38"/>
        <v>599.84001577078038</v>
      </c>
      <c r="L40" s="73">
        <f t="shared" si="38"/>
        <v>574.62862150699516</v>
      </c>
      <c r="M40" s="73">
        <f t="shared" si="38"/>
        <v>537.50897232094053</v>
      </c>
      <c r="N40" s="73">
        <f t="shared" si="38"/>
        <v>498.97233529652522</v>
      </c>
      <c r="O40" s="73">
        <f t="shared" si="38"/>
        <v>494.92343160758492</v>
      </c>
      <c r="P40" s="73">
        <f t="shared" si="38"/>
        <v>490.94257383319473</v>
      </c>
      <c r="Q40" s="73">
        <f t="shared" si="38"/>
        <v>487.02854174144466</v>
      </c>
      <c r="R40" s="73">
        <f t="shared" si="38"/>
        <v>483.180137314278</v>
      </c>
      <c r="S40" s="73">
        <f t="shared" si="38"/>
        <v>480.63355368385146</v>
      </c>
      <c r="T40" s="73">
        <f t="shared" si="38"/>
        <v>478.12861274352804</v>
      </c>
      <c r="U40" s="73">
        <f t="shared" si="38"/>
        <v>475.66455965495771</v>
      </c>
      <c r="V40" s="73">
        <f t="shared" si="38"/>
        <v>473.24065358229075</v>
      </c>
      <c r="W40" s="73">
        <f t="shared" si="38"/>
        <v>470.85616743117748</v>
      </c>
      <c r="X40" s="73">
        <f t="shared" si="38"/>
        <v>468.51038759263753</v>
      </c>
      <c r="Y40" s="73">
        <f t="shared" si="38"/>
        <v>466.20261369170782</v>
      </c>
      <c r="Z40" s="73">
        <f t="shared" si="38"/>
        <v>463.93215834078046</v>
      </c>
      <c r="AA40" s="73">
        <f t="shared" si="38"/>
        <v>461.69834689754225</v>
      </c>
      <c r="AB40" s="73">
        <f t="shared" si="38"/>
        <v>459.5005172274312</v>
      </c>
      <c r="AC40" s="73">
        <f t="shared" si="38"/>
        <v>457.33801947052444</v>
      </c>
      <c r="AD40" s="73">
        <f t="shared" si="38"/>
        <v>456.9013014069227</v>
      </c>
      <c r="AE40" s="73">
        <f t="shared" si="38"/>
        <v>456.4764521157943</v>
      </c>
      <c r="AF40" s="73">
        <f t="shared" si="38"/>
        <v>456.06339041737391</v>
      </c>
      <c r="AG40" s="73">
        <f t="shared" si="38"/>
        <v>455.66203613123332</v>
      </c>
      <c r="AH40" s="73">
        <f t="shared" si="38"/>
        <v>455.27231006722621</v>
      </c>
      <c r="AI40" s="73">
        <f t="shared" si="38"/>
        <v>454.89413401652763</v>
      </c>
      <c r="AJ40" s="73">
        <f t="shared" si="38"/>
        <v>454.52743074276782</v>
      </c>
      <c r="AK40" s="73">
        <f t="shared" si="38"/>
        <v>454.17212397325954</v>
      </c>
      <c r="AL40" s="73">
        <f t="shared" si="38"/>
        <v>453.82813839031792</v>
      </c>
      <c r="AM40" s="73">
        <f t="shared" si="38"/>
        <v>453.49539962267153</v>
      </c>
      <c r="AN40" s="73">
        <f t="shared" si="38"/>
        <v>451.83692936626142</v>
      </c>
      <c r="AO40" s="73">
        <f t="shared" si="38"/>
        <v>450.19285443079195</v>
      </c>
      <c r="AT40" s="48"/>
    </row>
    <row r="41" spans="1:46" s="53" customFormat="1" ht="13.5" x14ac:dyDescent="0.25">
      <c r="A41" s="48"/>
      <c r="B41" s="107">
        <f>B40+1</f>
        <v>25</v>
      </c>
      <c r="C41" s="111" t="s">
        <v>189</v>
      </c>
      <c r="D41" s="109"/>
      <c r="E41" s="110" t="s">
        <v>188</v>
      </c>
      <c r="F41" s="88"/>
      <c r="G41" s="73">
        <f t="shared" ref="G41:AO41" si="39">G22</f>
        <v>365.06802599999997</v>
      </c>
      <c r="H41" s="73">
        <f t="shared" si="39"/>
        <v>354.06930239999997</v>
      </c>
      <c r="I41" s="86">
        <f t="shared" si="39"/>
        <v>344.62774400233957</v>
      </c>
      <c r="J41" s="73">
        <f t="shared" si="39"/>
        <v>335.45482075496955</v>
      </c>
      <c r="K41" s="73">
        <f t="shared" si="39"/>
        <v>326.54245897078039</v>
      </c>
      <c r="L41" s="73">
        <f t="shared" si="39"/>
        <v>319.01106470699517</v>
      </c>
      <c r="M41" s="73">
        <f t="shared" si="39"/>
        <v>312.43141552094062</v>
      </c>
      <c r="N41" s="73">
        <f t="shared" si="39"/>
        <v>306.04477849652528</v>
      </c>
      <c r="O41" s="73">
        <f t="shared" si="39"/>
        <v>301.99587480758498</v>
      </c>
      <c r="P41" s="73">
        <f t="shared" si="39"/>
        <v>298.01501703319479</v>
      </c>
      <c r="Q41" s="73">
        <f t="shared" si="39"/>
        <v>294.10098494144472</v>
      </c>
      <c r="R41" s="73">
        <f t="shared" si="39"/>
        <v>290.25258051427807</v>
      </c>
      <c r="S41" s="73">
        <f t="shared" si="39"/>
        <v>287.70599688385153</v>
      </c>
      <c r="T41" s="73">
        <f t="shared" si="39"/>
        <v>285.2010559435281</v>
      </c>
      <c r="U41" s="73">
        <f t="shared" si="39"/>
        <v>282.73700285495778</v>
      </c>
      <c r="V41" s="73">
        <f t="shared" si="39"/>
        <v>280.31309678229081</v>
      </c>
      <c r="W41" s="73">
        <f t="shared" si="39"/>
        <v>277.92861063117755</v>
      </c>
      <c r="X41" s="73">
        <f t="shared" si="39"/>
        <v>275.58283079263759</v>
      </c>
      <c r="Y41" s="73">
        <f t="shared" si="39"/>
        <v>273.27505689170789</v>
      </c>
      <c r="Z41" s="73">
        <f t="shared" si="39"/>
        <v>271.00460154078053</v>
      </c>
      <c r="AA41" s="73">
        <f t="shared" si="39"/>
        <v>268.77079009754232</v>
      </c>
      <c r="AB41" s="73">
        <f t="shared" si="39"/>
        <v>266.57296042743127</v>
      </c>
      <c r="AC41" s="73">
        <f t="shared" si="39"/>
        <v>264.41046267052451</v>
      </c>
      <c r="AD41" s="73">
        <f t="shared" si="39"/>
        <v>263.97374460692276</v>
      </c>
      <c r="AE41" s="73">
        <f t="shared" si="39"/>
        <v>263.54889531579437</v>
      </c>
      <c r="AF41" s="73">
        <f t="shared" si="39"/>
        <v>263.13583361737398</v>
      </c>
      <c r="AG41" s="73">
        <f t="shared" si="39"/>
        <v>262.73447933123339</v>
      </c>
      <c r="AH41" s="73">
        <f t="shared" si="39"/>
        <v>262.34475326722628</v>
      </c>
      <c r="AI41" s="73">
        <f t="shared" si="39"/>
        <v>261.9665772165277</v>
      </c>
      <c r="AJ41" s="73">
        <f t="shared" si="39"/>
        <v>261.59987394276789</v>
      </c>
      <c r="AK41" s="73">
        <f t="shared" si="39"/>
        <v>261.24456717325961</v>
      </c>
      <c r="AL41" s="73">
        <f t="shared" si="39"/>
        <v>260.90058159031798</v>
      </c>
      <c r="AM41" s="73">
        <f t="shared" si="39"/>
        <v>260.56784282267159</v>
      </c>
      <c r="AN41" s="73">
        <f t="shared" si="39"/>
        <v>258.90937256626148</v>
      </c>
      <c r="AO41" s="73">
        <f t="shared" si="39"/>
        <v>257.26529763079202</v>
      </c>
      <c r="AT41" s="48"/>
    </row>
    <row r="42" spans="1:46" s="53" customFormat="1" ht="15" x14ac:dyDescent="0.25">
      <c r="A42" s="48"/>
      <c r="B42" s="629">
        <f>B41+1</f>
        <v>26</v>
      </c>
      <c r="C42" s="631" t="s">
        <v>190</v>
      </c>
      <c r="D42" s="109"/>
      <c r="E42" s="112" t="s">
        <v>15</v>
      </c>
      <c r="F42" s="113"/>
      <c r="G42" s="73">
        <f t="shared" ref="G42:AO42" si="40">G43*100/G40</f>
        <v>43.349337630021374</v>
      </c>
      <c r="H42" s="73">
        <f t="shared" si="40"/>
        <v>43.562638477349772</v>
      </c>
      <c r="I42" s="86">
        <f t="shared" si="40"/>
        <v>44.228251609885405</v>
      </c>
      <c r="J42" s="73">
        <f t="shared" si="40"/>
        <v>44.894700518080782</v>
      </c>
      <c r="K42" s="73">
        <f t="shared" si="40"/>
        <v>45.561741400132995</v>
      </c>
      <c r="L42" s="73">
        <f t="shared" si="40"/>
        <v>44.483958374650541</v>
      </c>
      <c r="M42" s="73">
        <f t="shared" si="40"/>
        <v>41.874195295405912</v>
      </c>
      <c r="N42" s="73">
        <f t="shared" si="40"/>
        <v>38.664980631711479</v>
      </c>
      <c r="O42" s="73">
        <f t="shared" si="40"/>
        <v>38.981293767672817</v>
      </c>
      <c r="P42" s="73">
        <f t="shared" si="40"/>
        <v>39.297377551442516</v>
      </c>
      <c r="Q42" s="73">
        <f t="shared" si="40"/>
        <v>39.613193122143954</v>
      </c>
      <c r="R42" s="73">
        <f t="shared" si="40"/>
        <v>39.928701927271653</v>
      </c>
      <c r="S42" s="73">
        <f t="shared" si="40"/>
        <v>40.140259730368882</v>
      </c>
      <c r="T42" s="73">
        <f t="shared" si="40"/>
        <v>40.350556661516471</v>
      </c>
      <c r="U42" s="73">
        <f t="shared" si="40"/>
        <v>40.559581933105896</v>
      </c>
      <c r="V42" s="73">
        <f t="shared" si="40"/>
        <v>40.767325321608745</v>
      </c>
      <c r="W42" s="73">
        <f t="shared" si="40"/>
        <v>40.973777162682943</v>
      </c>
      <c r="X42" s="73">
        <f t="shared" si="40"/>
        <v>41.178928345927616</v>
      </c>
      <c r="Y42" s="73">
        <f t="shared" si="40"/>
        <v>41.38277030930157</v>
      </c>
      <c r="Z42" s="73">
        <f t="shared" si="40"/>
        <v>41.58529503322022</v>
      </c>
      <c r="AA42" s="73">
        <f t="shared" si="40"/>
        <v>41.786495034346189</v>
      </c>
      <c r="AB42" s="73">
        <f t="shared" si="40"/>
        <v>41.986363359088422</v>
      </c>
      <c r="AC42" s="73">
        <f t="shared" si="40"/>
        <v>42.184893576825004</v>
      </c>
      <c r="AD42" s="73">
        <f t="shared" si="40"/>
        <v>42.225214987552853</v>
      </c>
      <c r="AE42" s="73">
        <f t="shared" si="40"/>
        <v>42.264514610944282</v>
      </c>
      <c r="AF42" s="73">
        <f t="shared" si="40"/>
        <v>42.302794053133518</v>
      </c>
      <c r="AG42" s="73">
        <f t="shared" si="40"/>
        <v>42.340055019294098</v>
      </c>
      <c r="AH42" s="73">
        <f t="shared" si="40"/>
        <v>42.376299312275762</v>
      </c>
      <c r="AI42" s="73">
        <f t="shared" si="40"/>
        <v>42.411528831231387</v>
      </c>
      <c r="AJ42" s="73">
        <f t="shared" si="40"/>
        <v>42.445745570234699</v>
      </c>
      <c r="AK42" s="73">
        <f t="shared" si="40"/>
        <v>42.478951616889418</v>
      </c>
      <c r="AL42" s="73">
        <f t="shared" si="40"/>
        <v>42.511149150930635</v>
      </c>
      <c r="AM42" s="73">
        <f t="shared" si="40"/>
        <v>42.542340442819111</v>
      </c>
      <c r="AN42" s="73">
        <f t="shared" si="40"/>
        <v>42.698492367721421</v>
      </c>
      <c r="AO42" s="73">
        <f t="shared" si="40"/>
        <v>42.854424476357089</v>
      </c>
      <c r="AT42" s="48"/>
    </row>
    <row r="43" spans="1:46" s="53" customFormat="1" ht="12" customHeight="1" x14ac:dyDescent="0.25">
      <c r="A43" s="48"/>
      <c r="B43" s="629"/>
      <c r="C43" s="632"/>
      <c r="D43" s="113"/>
      <c r="E43" s="110" t="s">
        <v>188</v>
      </c>
      <c r="F43" s="88"/>
      <c r="G43" s="73">
        <f t="shared" ref="G43:AO43" si="41">G23</f>
        <v>279.35166959999998</v>
      </c>
      <c r="H43" s="73">
        <f t="shared" si="41"/>
        <v>273.29755679999994</v>
      </c>
      <c r="I43" s="86">
        <f t="shared" si="41"/>
        <v>273.29755679999994</v>
      </c>
      <c r="J43" s="73">
        <f t="shared" si="41"/>
        <v>273.29755679999994</v>
      </c>
      <c r="K43" s="73">
        <f t="shared" si="41"/>
        <v>273.29755679999994</v>
      </c>
      <c r="L43" s="73">
        <f t="shared" si="41"/>
        <v>255.61755679999993</v>
      </c>
      <c r="M43" s="73">
        <f t="shared" si="41"/>
        <v>225.07755679999994</v>
      </c>
      <c r="N43" s="73">
        <f t="shared" si="41"/>
        <v>192.92755679999993</v>
      </c>
      <c r="O43" s="73">
        <f t="shared" si="41"/>
        <v>192.92755679999993</v>
      </c>
      <c r="P43" s="73">
        <f t="shared" si="41"/>
        <v>192.92755679999993</v>
      </c>
      <c r="Q43" s="73">
        <f t="shared" si="41"/>
        <v>192.92755679999993</v>
      </c>
      <c r="R43" s="73">
        <f t="shared" si="41"/>
        <v>192.92755679999993</v>
      </c>
      <c r="S43" s="73">
        <f t="shared" si="41"/>
        <v>192.92755679999993</v>
      </c>
      <c r="T43" s="73">
        <f t="shared" si="41"/>
        <v>192.92755679999993</v>
      </c>
      <c r="U43" s="73">
        <f t="shared" si="41"/>
        <v>192.92755679999993</v>
      </c>
      <c r="V43" s="73">
        <f t="shared" si="41"/>
        <v>192.92755679999993</v>
      </c>
      <c r="W43" s="73">
        <f t="shared" si="41"/>
        <v>192.92755679999993</v>
      </c>
      <c r="X43" s="73">
        <f t="shared" si="41"/>
        <v>192.92755679999993</v>
      </c>
      <c r="Y43" s="73">
        <f t="shared" si="41"/>
        <v>192.92755679999993</v>
      </c>
      <c r="Z43" s="73">
        <f t="shared" si="41"/>
        <v>192.92755679999993</v>
      </c>
      <c r="AA43" s="73">
        <f t="shared" si="41"/>
        <v>192.92755679999993</v>
      </c>
      <c r="AB43" s="73">
        <f t="shared" si="41"/>
        <v>192.92755679999993</v>
      </c>
      <c r="AC43" s="73">
        <f t="shared" si="41"/>
        <v>192.92755679999993</v>
      </c>
      <c r="AD43" s="73">
        <f t="shared" si="41"/>
        <v>192.92755679999993</v>
      </c>
      <c r="AE43" s="73">
        <f t="shared" si="41"/>
        <v>192.92755679999993</v>
      </c>
      <c r="AF43" s="73">
        <f t="shared" si="41"/>
        <v>192.92755679999993</v>
      </c>
      <c r="AG43" s="73">
        <f t="shared" si="41"/>
        <v>192.92755679999993</v>
      </c>
      <c r="AH43" s="73">
        <f t="shared" si="41"/>
        <v>192.92755679999993</v>
      </c>
      <c r="AI43" s="73">
        <f t="shared" si="41"/>
        <v>192.92755679999993</v>
      </c>
      <c r="AJ43" s="73">
        <f t="shared" si="41"/>
        <v>192.92755679999993</v>
      </c>
      <c r="AK43" s="73">
        <f t="shared" si="41"/>
        <v>192.92755679999993</v>
      </c>
      <c r="AL43" s="73">
        <f t="shared" si="41"/>
        <v>192.92755679999993</v>
      </c>
      <c r="AM43" s="73">
        <f t="shared" si="41"/>
        <v>192.92755679999993</v>
      </c>
      <c r="AN43" s="73">
        <f t="shared" si="41"/>
        <v>192.92755679999993</v>
      </c>
      <c r="AO43" s="73">
        <f t="shared" si="41"/>
        <v>192.92755679999993</v>
      </c>
      <c r="AT43" s="48"/>
    </row>
    <row r="44" spans="1:46" s="53" customFormat="1" ht="15.75" thickBot="1" x14ac:dyDescent="0.3">
      <c r="A44" s="48"/>
      <c r="B44" s="54"/>
      <c r="C44" s="114"/>
      <c r="D44" s="115"/>
      <c r="E44" s="54"/>
      <c r="F44" s="54"/>
      <c r="G44" s="104"/>
      <c r="H44" s="116"/>
      <c r="I44" s="117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T44" s="48"/>
    </row>
    <row r="45" spans="1:46" s="53" customFormat="1" ht="15.75" thickBot="1" x14ac:dyDescent="0.3">
      <c r="A45" s="48"/>
      <c r="B45" s="107"/>
      <c r="C45" s="106" t="s">
        <v>213</v>
      </c>
      <c r="D45" s="118"/>
      <c r="E45" s="118"/>
      <c r="F45" s="118"/>
      <c r="G45" s="118"/>
      <c r="H45" s="104"/>
      <c r="I45" s="105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T45" s="48"/>
    </row>
    <row r="46" spans="1:46" s="53" customFormat="1" ht="13.5" x14ac:dyDescent="0.25">
      <c r="A46" s="48"/>
      <c r="B46" s="107">
        <f>B42+1</f>
        <v>27</v>
      </c>
      <c r="C46" s="111" t="s">
        <v>191</v>
      </c>
      <c r="D46" s="109"/>
      <c r="E46" s="110" t="s">
        <v>192</v>
      </c>
      <c r="F46" s="88"/>
      <c r="G46" s="73">
        <f>'2.BilantNOPRO'!G46</f>
        <v>126.1</v>
      </c>
      <c r="H46" s="73">
        <f>'2.BilantNOPRO'!H46</f>
        <v>222.25</v>
      </c>
      <c r="I46" s="86">
        <f>I59</f>
        <v>215.50385528081881</v>
      </c>
      <c r="J46" s="86">
        <f t="shared" ref="J46:AO46" si="42">J59</f>
        <v>212.29333214423929</v>
      </c>
      <c r="K46" s="86">
        <f t="shared" si="42"/>
        <v>209.17400551977312</v>
      </c>
      <c r="L46" s="61">
        <f t="shared" si="42"/>
        <v>200.35001752744827</v>
      </c>
      <c r="M46" s="86">
        <f t="shared" si="42"/>
        <v>187.35814031232917</v>
      </c>
      <c r="N46" s="86">
        <f t="shared" si="42"/>
        <v>173.87031735378383</v>
      </c>
      <c r="O46" s="86">
        <f t="shared" si="42"/>
        <v>172.45320106265473</v>
      </c>
      <c r="P46" s="86">
        <f t="shared" si="42"/>
        <v>171.05990084161814</v>
      </c>
      <c r="Q46" s="86">
        <f t="shared" si="42"/>
        <v>169.68998960950563</v>
      </c>
      <c r="R46" s="86">
        <f t="shared" si="42"/>
        <v>168.3430480599973</v>
      </c>
      <c r="S46" s="86">
        <f t="shared" si="42"/>
        <v>167.451743789348</v>
      </c>
      <c r="T46" s="86">
        <f t="shared" si="42"/>
        <v>166.5750144602348</v>
      </c>
      <c r="U46" s="86">
        <f t="shared" si="42"/>
        <v>165.71259587923518</v>
      </c>
      <c r="V46" s="86">
        <f t="shared" si="42"/>
        <v>164.86422875380177</v>
      </c>
      <c r="W46" s="86">
        <f t="shared" si="42"/>
        <v>164.02965860091211</v>
      </c>
      <c r="X46" s="86">
        <f t="shared" si="42"/>
        <v>163.20863565742312</v>
      </c>
      <c r="Y46" s="86">
        <f t="shared" si="42"/>
        <v>162.40091479209772</v>
      </c>
      <c r="Z46" s="86">
        <f t="shared" si="42"/>
        <v>161.60625541927317</v>
      </c>
      <c r="AA46" s="86">
        <f t="shared" si="42"/>
        <v>160.82442141413978</v>
      </c>
      <c r="AB46" s="86">
        <f t="shared" si="42"/>
        <v>160.0551810296009</v>
      </c>
      <c r="AC46" s="86">
        <f t="shared" si="42"/>
        <v>159.29830681468354</v>
      </c>
      <c r="AD46" s="86">
        <f t="shared" si="42"/>
        <v>159.14545549242294</v>
      </c>
      <c r="AE46" s="86">
        <f t="shared" si="42"/>
        <v>158.99675824052801</v>
      </c>
      <c r="AF46" s="86">
        <f t="shared" si="42"/>
        <v>158.85218664608087</v>
      </c>
      <c r="AG46" s="86">
        <f t="shared" si="42"/>
        <v>158.71171264593167</v>
      </c>
      <c r="AH46" s="86">
        <f t="shared" si="42"/>
        <v>158.57530852352917</v>
      </c>
      <c r="AI46" s="86">
        <f t="shared" si="42"/>
        <v>158.44294690578465</v>
      </c>
      <c r="AJ46" s="86">
        <f t="shared" si="42"/>
        <v>158.31460075996873</v>
      </c>
      <c r="AK46" s="86">
        <f t="shared" si="42"/>
        <v>158.19024339064083</v>
      </c>
      <c r="AL46" s="86">
        <f t="shared" si="42"/>
        <v>158.06984843661127</v>
      </c>
      <c r="AM46" s="86">
        <f t="shared" si="42"/>
        <v>157.95338986793502</v>
      </c>
      <c r="AN46" s="86">
        <f t="shared" si="42"/>
        <v>157.3729252781915</v>
      </c>
      <c r="AO46" s="86">
        <f t="shared" si="42"/>
        <v>156.79749905077719</v>
      </c>
      <c r="AT46" s="48"/>
    </row>
    <row r="47" spans="1:46" s="53" customFormat="1" ht="13.5" x14ac:dyDescent="0.25">
      <c r="A47" s="48"/>
      <c r="B47" s="107">
        <f>B46+1</f>
        <v>28</v>
      </c>
      <c r="C47" s="111" t="s">
        <v>576</v>
      </c>
      <c r="D47" s="109"/>
      <c r="E47" s="110" t="s">
        <v>192</v>
      </c>
      <c r="F47" s="88"/>
      <c r="G47" s="471">
        <v>11.58</v>
      </c>
      <c r="H47" s="471">
        <v>20.51</v>
      </c>
      <c r="I47" s="86">
        <f>'2.BilantNOPRO'!I47</f>
        <v>29.344680843926405</v>
      </c>
      <c r="J47" s="86">
        <f t="shared" ref="J47:AO47" si="43">I47*J46/I46</f>
        <v>28.907511046373585</v>
      </c>
      <c r="K47" s="86">
        <f t="shared" si="43"/>
        <v>28.48275927511806</v>
      </c>
      <c r="L47" s="61">
        <f t="shared" si="43"/>
        <v>27.281216448573286</v>
      </c>
      <c r="M47" s="86">
        <f t="shared" si="43"/>
        <v>25.512141413027589</v>
      </c>
      <c r="N47" s="86">
        <f t="shared" si="43"/>
        <v>23.675534548235575</v>
      </c>
      <c r="O47" s="86">
        <f t="shared" si="43"/>
        <v>23.48256897354679</v>
      </c>
      <c r="P47" s="86">
        <f t="shared" si="43"/>
        <v>23.292846380172239</v>
      </c>
      <c r="Q47" s="86">
        <f t="shared" si="43"/>
        <v>23.106308613418747</v>
      </c>
      <c r="R47" s="86">
        <f t="shared" si="43"/>
        <v>22.922898577276978</v>
      </c>
      <c r="S47" s="86">
        <f t="shared" si="43"/>
        <v>22.801531656379204</v>
      </c>
      <c r="T47" s="86">
        <f t="shared" si="43"/>
        <v>22.682149372865936</v>
      </c>
      <c r="U47" s="86">
        <f t="shared" si="43"/>
        <v>22.564715752106213</v>
      </c>
      <c r="V47" s="86">
        <f t="shared" si="43"/>
        <v>22.449195486810346</v>
      </c>
      <c r="W47" s="86">
        <f t="shared" si="43"/>
        <v>22.335553924590958</v>
      </c>
      <c r="X47" s="86">
        <f t="shared" si="43"/>
        <v>22.223757055756145</v>
      </c>
      <c r="Y47" s="86">
        <f t="shared" si="43"/>
        <v>22.113771501330369</v>
      </c>
      <c r="Z47" s="86">
        <f t="shared" si="43"/>
        <v>22.005564501298817</v>
      </c>
      <c r="AA47" s="86">
        <f t="shared" si="43"/>
        <v>21.899103903071136</v>
      </c>
      <c r="AB47" s="86">
        <f t="shared" si="43"/>
        <v>21.794358150160413</v>
      </c>
      <c r="AC47" s="86">
        <f t="shared" si="43"/>
        <v>21.691296271073352</v>
      </c>
      <c r="AD47" s="86">
        <f t="shared" si="43"/>
        <v>21.670482846355426</v>
      </c>
      <c r="AE47" s="86">
        <f t="shared" si="43"/>
        <v>21.650235072163454</v>
      </c>
      <c r="AF47" s="86">
        <f t="shared" si="43"/>
        <v>21.630549079573573</v>
      </c>
      <c r="AG47" s="86">
        <f t="shared" si="43"/>
        <v>21.611421047289063</v>
      </c>
      <c r="AH47" s="86">
        <f t="shared" si="43"/>
        <v>21.592847201208762</v>
      </c>
      <c r="AI47" s="86">
        <f t="shared" si="43"/>
        <v>21.574823814000037</v>
      </c>
      <c r="AJ47" s="86">
        <f t="shared" si="43"/>
        <v>21.557347204676233</v>
      </c>
      <c r="AK47" s="86">
        <f t="shared" si="43"/>
        <v>21.540413738178557</v>
      </c>
      <c r="AL47" s="86">
        <f t="shared" si="43"/>
        <v>21.524019824962423</v>
      </c>
      <c r="AM47" s="86">
        <f t="shared" si="43"/>
        <v>21.508161920588083</v>
      </c>
      <c r="AN47" s="86">
        <f t="shared" si="43"/>
        <v>21.429121347949472</v>
      </c>
      <c r="AO47" s="86">
        <f t="shared" si="43"/>
        <v>21.35076683790744</v>
      </c>
      <c r="AT47" s="48"/>
    </row>
    <row r="48" spans="1:46" s="53" customFormat="1" ht="13.5" x14ac:dyDescent="0.25">
      <c r="A48" s="48"/>
      <c r="B48" s="107">
        <f t="shared" ref="B48:B51" si="44">B47+1</f>
        <v>29</v>
      </c>
      <c r="C48" s="119" t="s">
        <v>193</v>
      </c>
      <c r="D48" s="109"/>
      <c r="E48" s="110" t="s">
        <v>194</v>
      </c>
      <c r="F48" s="88"/>
      <c r="G48" s="471">
        <v>10.87</v>
      </c>
      <c r="H48" s="471">
        <v>20.48</v>
      </c>
      <c r="I48" s="86">
        <f>'2.BilantNOPRO'!I48</f>
        <v>20.90441219941297</v>
      </c>
      <c r="J48" s="86">
        <f t="shared" ref="J48:AO48" si="45">I48*J47/I47</f>
        <v>20.592983436640463</v>
      </c>
      <c r="K48" s="86">
        <f t="shared" si="45"/>
        <v>20.290400963313136</v>
      </c>
      <c r="L48" s="61">
        <f t="shared" si="45"/>
        <v>19.434452089480406</v>
      </c>
      <c r="M48" s="86">
        <f t="shared" si="45"/>
        <v>18.174207551418149</v>
      </c>
      <c r="N48" s="86">
        <f t="shared" si="45"/>
        <v>16.86585503758155</v>
      </c>
      <c r="O48" s="86">
        <f t="shared" si="45"/>
        <v>16.728391217986939</v>
      </c>
      <c r="P48" s="86">
        <f t="shared" si="45"/>
        <v>16.593237616673736</v>
      </c>
      <c r="Q48" s="86">
        <f t="shared" si="45"/>
        <v>16.460352805701937</v>
      </c>
      <c r="R48" s="86">
        <f t="shared" si="45"/>
        <v>16.329696111311264</v>
      </c>
      <c r="S48" s="86">
        <f t="shared" si="45"/>
        <v>16.243237370958472</v>
      </c>
      <c r="T48" s="86">
        <f t="shared" si="45"/>
        <v>16.158192436336698</v>
      </c>
      <c r="U48" s="86">
        <f t="shared" si="45"/>
        <v>16.074535680024116</v>
      </c>
      <c r="V48" s="86">
        <f t="shared" si="45"/>
        <v>15.992241949996032</v>
      </c>
      <c r="W48" s="86">
        <f t="shared" si="45"/>
        <v>15.911286560763674</v>
      </c>
      <c r="X48" s="86">
        <f t="shared" si="45"/>
        <v>15.831645284678359</v>
      </c>
      <c r="Y48" s="86">
        <f t="shared" si="45"/>
        <v>15.753294343397863</v>
      </c>
      <c r="Z48" s="86">
        <f t="shared" si="45"/>
        <v>15.676210399512012</v>
      </c>
      <c r="AA48" s="86">
        <f t="shared" si="45"/>
        <v>15.600370548324531</v>
      </c>
      <c r="AB48" s="86">
        <f t="shared" si="45"/>
        <v>15.525752309788235</v>
      </c>
      <c r="AC48" s="86">
        <f t="shared" si="45"/>
        <v>15.45233362059067</v>
      </c>
      <c r="AD48" s="86">
        <f t="shared" si="45"/>
        <v>15.437506660573654</v>
      </c>
      <c r="AE48" s="86">
        <f t="shared" si="45"/>
        <v>15.423082655757215</v>
      </c>
      <c r="AF48" s="86">
        <f t="shared" si="45"/>
        <v>15.409058850017352</v>
      </c>
      <c r="AG48" s="86">
        <f t="shared" si="45"/>
        <v>15.395432521158442</v>
      </c>
      <c r="AH48" s="86">
        <f t="shared" si="45"/>
        <v>15.38220098060579</v>
      </c>
      <c r="AI48" s="86">
        <f t="shared" si="45"/>
        <v>15.369361573101422</v>
      </c>
      <c r="AJ48" s="86">
        <f t="shared" si="45"/>
        <v>15.356911676403074</v>
      </c>
      <c r="AK48" s="86">
        <f t="shared" si="45"/>
        <v>15.344848700986335</v>
      </c>
      <c r="AL48" s="86">
        <f t="shared" si="45"/>
        <v>15.333170089749967</v>
      </c>
      <c r="AM48" s="86">
        <f t="shared" si="45"/>
        <v>15.321873317724291</v>
      </c>
      <c r="AN48" s="86">
        <f t="shared" si="45"/>
        <v>15.265566802764965</v>
      </c>
      <c r="AO48" s="86">
        <f t="shared" si="45"/>
        <v>15.209749021535265</v>
      </c>
      <c r="AT48" s="48"/>
    </row>
    <row r="49" spans="1:46" s="53" customFormat="1" ht="13.5" x14ac:dyDescent="0.25">
      <c r="A49" s="48"/>
      <c r="B49" s="107">
        <f t="shared" si="44"/>
        <v>30</v>
      </c>
      <c r="C49" s="119" t="s">
        <v>195</v>
      </c>
      <c r="D49" s="109"/>
      <c r="E49" s="110" t="s">
        <v>192</v>
      </c>
      <c r="F49" s="88"/>
      <c r="G49" s="60">
        <f>G47-G48</f>
        <v>0.71000000000000085</v>
      </c>
      <c r="H49" s="60">
        <f t="shared" ref="H49:AO49" si="46">H47-H48</f>
        <v>3.0000000000001137E-2</v>
      </c>
      <c r="I49" s="60">
        <f t="shared" si="46"/>
        <v>8.4402686445134343</v>
      </c>
      <c r="J49" s="60">
        <f t="shared" si="46"/>
        <v>8.3145276097331227</v>
      </c>
      <c r="K49" s="60">
        <f t="shared" si="46"/>
        <v>8.1923583118049237</v>
      </c>
      <c r="L49" s="60">
        <f t="shared" si="46"/>
        <v>7.8467643590928802</v>
      </c>
      <c r="M49" s="60">
        <f t="shared" si="46"/>
        <v>7.3379338616094394</v>
      </c>
      <c r="N49" s="60">
        <f t="shared" si="46"/>
        <v>6.8096795106540249</v>
      </c>
      <c r="O49" s="60">
        <f t="shared" si="46"/>
        <v>6.7541777555598514</v>
      </c>
      <c r="P49" s="60">
        <f t="shared" si="46"/>
        <v>6.6996087634985031</v>
      </c>
      <c r="Q49" s="60">
        <f t="shared" si="46"/>
        <v>6.6459558077168097</v>
      </c>
      <c r="R49" s="60">
        <f t="shared" si="46"/>
        <v>6.5932024659657138</v>
      </c>
      <c r="S49" s="60">
        <f t="shared" si="46"/>
        <v>6.5582942854207325</v>
      </c>
      <c r="T49" s="60">
        <f t="shared" si="46"/>
        <v>6.5239569365292382</v>
      </c>
      <c r="U49" s="60">
        <f t="shared" si="46"/>
        <v>6.4901800720820972</v>
      </c>
      <c r="V49" s="60">
        <f t="shared" si="46"/>
        <v>6.4569535368143143</v>
      </c>
      <c r="W49" s="60">
        <f t="shared" si="46"/>
        <v>6.4242673638272834</v>
      </c>
      <c r="X49" s="60">
        <f t="shared" si="46"/>
        <v>6.3921117710777864</v>
      </c>
      <c r="Y49" s="60">
        <f t="shared" si="46"/>
        <v>6.3604771579325057</v>
      </c>
      <c r="Z49" s="60">
        <f t="shared" si="46"/>
        <v>6.3293541017868051</v>
      </c>
      <c r="AA49" s="60">
        <f t="shared" si="46"/>
        <v>6.2987333547466058</v>
      </c>
      <c r="AB49" s="60">
        <f t="shared" si="46"/>
        <v>6.2686058403721781</v>
      </c>
      <c r="AC49" s="60">
        <f t="shared" si="46"/>
        <v>6.2389626504826818</v>
      </c>
      <c r="AD49" s="60">
        <f t="shared" si="46"/>
        <v>6.2329761857817729</v>
      </c>
      <c r="AE49" s="60">
        <f t="shared" si="46"/>
        <v>6.2271524164062395</v>
      </c>
      <c r="AF49" s="60">
        <f t="shared" si="46"/>
        <v>6.2214902295562204</v>
      </c>
      <c r="AG49" s="60">
        <f t="shared" si="46"/>
        <v>6.2159885261306211</v>
      </c>
      <c r="AH49" s="60">
        <f t="shared" si="46"/>
        <v>6.2106462206029729</v>
      </c>
      <c r="AI49" s="60">
        <f t="shared" si="46"/>
        <v>6.2054622408986155</v>
      </c>
      <c r="AJ49" s="60">
        <f t="shared" si="46"/>
        <v>6.2004355282731591</v>
      </c>
      <c r="AK49" s="60">
        <f t="shared" si="46"/>
        <v>6.1955650371922228</v>
      </c>
      <c r="AL49" s="60">
        <f t="shared" si="46"/>
        <v>6.1908497352124563</v>
      </c>
      <c r="AM49" s="60">
        <f t="shared" si="46"/>
        <v>6.186288602863792</v>
      </c>
      <c r="AN49" s="60">
        <f t="shared" si="46"/>
        <v>6.1635545451845068</v>
      </c>
      <c r="AO49" s="60">
        <f t="shared" si="46"/>
        <v>6.1410178163721749</v>
      </c>
      <c r="AT49" s="48"/>
    </row>
    <row r="50" spans="1:46" s="53" customFormat="1" ht="13.5" x14ac:dyDescent="0.25">
      <c r="A50" s="48"/>
      <c r="B50" s="107">
        <f t="shared" si="44"/>
        <v>31</v>
      </c>
      <c r="C50" s="120" t="s">
        <v>575</v>
      </c>
      <c r="D50" s="90"/>
      <c r="E50" s="110" t="s">
        <v>192</v>
      </c>
      <c r="F50" s="88"/>
      <c r="G50" s="73">
        <f>G46-G48</f>
        <v>115.22999999999999</v>
      </c>
      <c r="H50" s="73">
        <f t="shared" ref="H50:AO50" si="47">H46-H48</f>
        <v>201.77</v>
      </c>
      <c r="I50" s="73">
        <f t="shared" si="47"/>
        <v>194.59944308140584</v>
      </c>
      <c r="J50" s="73">
        <f t="shared" si="47"/>
        <v>191.70034870759883</v>
      </c>
      <c r="K50" s="73">
        <f t="shared" si="47"/>
        <v>188.88360455645997</v>
      </c>
      <c r="L50" s="73">
        <f t="shared" si="47"/>
        <v>180.91556543796787</v>
      </c>
      <c r="M50" s="73">
        <f t="shared" si="47"/>
        <v>169.18393276091103</v>
      </c>
      <c r="N50" s="73">
        <f t="shared" si="47"/>
        <v>157.00446231620228</v>
      </c>
      <c r="O50" s="73">
        <f t="shared" si="47"/>
        <v>155.72480984466779</v>
      </c>
      <c r="P50" s="73">
        <f t="shared" si="47"/>
        <v>154.4666632249444</v>
      </c>
      <c r="Q50" s="73">
        <f t="shared" si="47"/>
        <v>153.22963680380369</v>
      </c>
      <c r="R50" s="73">
        <f t="shared" si="47"/>
        <v>152.01335194868602</v>
      </c>
      <c r="S50" s="73">
        <f t="shared" si="47"/>
        <v>151.20850641838953</v>
      </c>
      <c r="T50" s="73">
        <f t="shared" si="47"/>
        <v>150.41682202389811</v>
      </c>
      <c r="U50" s="73">
        <f t="shared" si="47"/>
        <v>149.63806019921105</v>
      </c>
      <c r="V50" s="73">
        <f t="shared" si="47"/>
        <v>148.87198680380573</v>
      </c>
      <c r="W50" s="73">
        <f t="shared" si="47"/>
        <v>148.11837204014844</v>
      </c>
      <c r="X50" s="73">
        <f t="shared" si="47"/>
        <v>147.37699037274476</v>
      </c>
      <c r="Y50" s="73">
        <f t="shared" si="47"/>
        <v>146.64762044869985</v>
      </c>
      <c r="Z50" s="73">
        <f t="shared" si="47"/>
        <v>145.93004501976117</v>
      </c>
      <c r="AA50" s="73">
        <f t="shared" si="47"/>
        <v>145.22405086581526</v>
      </c>
      <c r="AB50" s="73">
        <f t="shared" si="47"/>
        <v>144.52942871981267</v>
      </c>
      <c r="AC50" s="73">
        <f t="shared" si="47"/>
        <v>143.84597319409286</v>
      </c>
      <c r="AD50" s="73">
        <f t="shared" si="47"/>
        <v>143.70794883184928</v>
      </c>
      <c r="AE50" s="73">
        <f t="shared" si="47"/>
        <v>143.5736755847708</v>
      </c>
      <c r="AF50" s="73">
        <f t="shared" si="47"/>
        <v>143.44312779606352</v>
      </c>
      <c r="AG50" s="73">
        <f t="shared" si="47"/>
        <v>143.31628012477321</v>
      </c>
      <c r="AH50" s="73">
        <f t="shared" si="47"/>
        <v>143.19310754292337</v>
      </c>
      <c r="AI50" s="73">
        <f t="shared" si="47"/>
        <v>143.07358533268322</v>
      </c>
      <c r="AJ50" s="73">
        <f t="shared" si="47"/>
        <v>142.95768908356564</v>
      </c>
      <c r="AK50" s="73">
        <f t="shared" si="47"/>
        <v>142.84539468965448</v>
      </c>
      <c r="AL50" s="73">
        <f t="shared" si="47"/>
        <v>142.73667834686131</v>
      </c>
      <c r="AM50" s="73">
        <f t="shared" si="47"/>
        <v>142.63151655021073</v>
      </c>
      <c r="AN50" s="73">
        <f t="shared" si="47"/>
        <v>142.10735847542654</v>
      </c>
      <c r="AO50" s="73">
        <f t="shared" si="47"/>
        <v>141.58775002924193</v>
      </c>
      <c r="AT50" s="48"/>
    </row>
    <row r="51" spans="1:46" s="53" customFormat="1" ht="40.5" x14ac:dyDescent="0.25">
      <c r="A51" s="48"/>
      <c r="B51" s="107">
        <f t="shared" si="44"/>
        <v>32</v>
      </c>
      <c r="C51" s="136" t="s">
        <v>577</v>
      </c>
      <c r="D51" s="90"/>
      <c r="E51" s="110" t="s">
        <v>192</v>
      </c>
      <c r="F51" s="88"/>
      <c r="G51" s="73">
        <f>'2.BilantNOPRO'!G51</f>
        <v>8.7768499999999996</v>
      </c>
      <c r="H51" s="73">
        <f>H25*'1.Input'!$K$86/10^6+1.796</f>
        <v>8.5921647093219686</v>
      </c>
      <c r="I51" s="73">
        <f>I25*'1.Input'!$K$86/10^6+1.796</f>
        <v>8.4898858193197029</v>
      </c>
      <c r="J51" s="73">
        <f>J25*'1.Input'!$K$86/10^6+1.796</f>
        <v>8.3905170108770815</v>
      </c>
      <c r="K51" s="73">
        <f>K25*'1.Input'!$K$86/10^6+1.796</f>
        <v>8.2939708230346874</v>
      </c>
      <c r="L51" s="73">
        <f>L25*'1.Input'!$K$86/10^6+1.796</f>
        <v>8.0208598267241253</v>
      </c>
      <c r="M51" s="73">
        <f>M25*'1.Input'!$K$86/10^6+1.796</f>
        <v>7.6187486120157741</v>
      </c>
      <c r="N51" s="73">
        <f>N25*'1.Input'!$K$86/10^6+1.796</f>
        <v>7.2012873949931677</v>
      </c>
      <c r="O51" s="73">
        <f>O25*'1.Input'!$K$86/10^6+1.796</f>
        <v>7.157426269785967</v>
      </c>
      <c r="P51" s="73">
        <f>P25*'1.Input'!$K$86/10^6+1.796</f>
        <v>7.1143022750731451</v>
      </c>
      <c r="Q51" s="73">
        <f>Q25*'1.Input'!$K$86/10^6+1.796</f>
        <v>7.0719021922778484</v>
      </c>
      <c r="R51" s="73">
        <f>R25*'1.Input'!$K$86/10^6+1.796</f>
        <v>7.0302130434623367</v>
      </c>
      <c r="S51" s="73">
        <f>S25*'1.Input'!$K$86/10^6+1.796</f>
        <v>7.0026263108438629</v>
      </c>
      <c r="T51" s="73">
        <f>T25*'1.Input'!$K$86/10^6+1.796</f>
        <v>6.9754906868179614</v>
      </c>
      <c r="U51" s="73">
        <f>U25*'1.Input'!$K$86/10^6+1.796</f>
        <v>6.9487979943416782</v>
      </c>
      <c r="V51" s="73">
        <f>V25*'1.Input'!$K$86/10^6+1.796</f>
        <v>6.9225402080589014</v>
      </c>
      <c r="W51" s="73">
        <f>W25*'1.Input'!$K$86/10^6+1.796</f>
        <v>6.8967094514729892</v>
      </c>
      <c r="X51" s="73">
        <f>X25*'1.Input'!$K$86/10^6+1.796</f>
        <v>6.8712979941721475</v>
      </c>
      <c r="Y51" s="73">
        <f>Y25*'1.Input'!$K$86/10^6+1.796</f>
        <v>6.8462982491065691</v>
      </c>
      <c r="Z51" s="73">
        <f>Z25*'1.Input'!$K$86/10^6+1.796</f>
        <v>6.8217027699163877</v>
      </c>
      <c r="AA51" s="73">
        <f>AA25*'1.Input'!$K$86/10^6+1.796</f>
        <v>6.797504248309469</v>
      </c>
      <c r="AB51" s="73">
        <f>AB25*'1.Input'!$K$86/10^6+1.796</f>
        <v>6.7736955114881514</v>
      </c>
      <c r="AC51" s="73">
        <f>AC25*'1.Input'!$K$86/10^6+1.796</f>
        <v>6.7502695196239682</v>
      </c>
      <c r="AD51" s="73">
        <f>AD25*'1.Input'!$K$86/10^6+1.796</f>
        <v>6.745538622783867</v>
      </c>
      <c r="AE51" s="73">
        <f>AE25*'1.Input'!$K$86/10^6+1.796</f>
        <v>6.7409362984551171</v>
      </c>
      <c r="AF51" s="73">
        <f>AF25*'1.Input'!$K$86/10^6+1.796</f>
        <v>6.7364616672303246</v>
      </c>
      <c r="AG51" s="73">
        <f>AG25*'1.Input'!$K$86/10^6+1.796</f>
        <v>6.7321138605277477</v>
      </c>
      <c r="AH51" s="73">
        <f>AH25*'1.Input'!$K$86/10^6+1.796</f>
        <v>6.7278920204932167</v>
      </c>
      <c r="AI51" s="73">
        <f>AI25*'1.Input'!$K$86/10^6+1.796</f>
        <v>6.7237952999030579</v>
      </c>
      <c r="AJ51" s="73">
        <f>AJ25*'1.Input'!$K$86/10^6+1.796</f>
        <v>6.7198228620680442</v>
      </c>
      <c r="AK51" s="73">
        <f>AK25*'1.Input'!$K$86/10^6+1.796</f>
        <v>6.7159738807383729</v>
      </c>
      <c r="AL51" s="73">
        <f>AL25*'1.Input'!$K$86/10^6+1.796</f>
        <v>6.7122475400096251</v>
      </c>
      <c r="AM51" s="73">
        <f>AM25*'1.Input'!$K$86/10^6+1.796</f>
        <v>6.7086430342297296</v>
      </c>
      <c r="AN51" s="73">
        <f>AN25*'1.Input'!$K$86/10^6+1.796</f>
        <v>6.6906770915555382</v>
      </c>
      <c r="AO51" s="73">
        <f>AO25*'1.Input'!$K$86/10^6+1.796</f>
        <v>6.6728670910876051</v>
      </c>
      <c r="AT51" s="48"/>
    </row>
    <row r="52" spans="1:46" s="53" customFormat="1" ht="15" x14ac:dyDescent="0.25">
      <c r="A52" s="48"/>
      <c r="B52" s="629">
        <f>B51+1</f>
        <v>33</v>
      </c>
      <c r="C52" s="633" t="s">
        <v>212</v>
      </c>
      <c r="D52" s="121"/>
      <c r="E52" s="110" t="s">
        <v>196</v>
      </c>
      <c r="F52" s="88"/>
      <c r="G52" s="73" t="e">
        <f>#REF!+#REF!</f>
        <v>#REF!</v>
      </c>
      <c r="H52" s="73" t="e">
        <f>#REF!+#REF!</f>
        <v>#REF!</v>
      </c>
      <c r="I52" s="73">
        <f>I62+I71</f>
        <v>614.44444444444446</v>
      </c>
      <c r="J52" s="73">
        <f t="shared" ref="J52:AO52" si="48">J62+J71</f>
        <v>614.44444444444446</v>
      </c>
      <c r="K52" s="73">
        <f t="shared" si="48"/>
        <v>614.44444444444446</v>
      </c>
      <c r="L52" s="73">
        <f t="shared" si="48"/>
        <v>610.91444444444448</v>
      </c>
      <c r="M52" s="73">
        <f t="shared" si="48"/>
        <v>604.80444444444447</v>
      </c>
      <c r="N52" s="73">
        <f t="shared" si="48"/>
        <v>598.37444444444452</v>
      </c>
      <c r="O52" s="73">
        <f t="shared" si="48"/>
        <v>598.37444444444452</v>
      </c>
      <c r="P52" s="73">
        <f t="shared" si="48"/>
        <v>598.37444444444452</v>
      </c>
      <c r="Q52" s="73">
        <f t="shared" si="48"/>
        <v>598.37444444444452</v>
      </c>
      <c r="R52" s="73">
        <f t="shared" si="48"/>
        <v>598.37444444444452</v>
      </c>
      <c r="S52" s="73">
        <f t="shared" si="48"/>
        <v>598.37444444444452</v>
      </c>
      <c r="T52" s="73">
        <f t="shared" si="48"/>
        <v>598.37444444444452</v>
      </c>
      <c r="U52" s="73">
        <f t="shared" si="48"/>
        <v>598.37444444444452</v>
      </c>
      <c r="V52" s="73">
        <f t="shared" si="48"/>
        <v>598.37444444444452</v>
      </c>
      <c r="W52" s="73">
        <f t="shared" si="48"/>
        <v>598.37444444444452</v>
      </c>
      <c r="X52" s="73">
        <f t="shared" si="48"/>
        <v>598.37444444444452</v>
      </c>
      <c r="Y52" s="73">
        <f t="shared" si="48"/>
        <v>598.37444444444452</v>
      </c>
      <c r="Z52" s="73">
        <f t="shared" si="48"/>
        <v>598.37444444444452</v>
      </c>
      <c r="AA52" s="73">
        <f t="shared" si="48"/>
        <v>598.37444444444452</v>
      </c>
      <c r="AB52" s="73">
        <f t="shared" si="48"/>
        <v>598.37444444444452</v>
      </c>
      <c r="AC52" s="73">
        <f t="shared" si="48"/>
        <v>598.37444444444452</v>
      </c>
      <c r="AD52" s="73">
        <f t="shared" si="48"/>
        <v>598.37444444444452</v>
      </c>
      <c r="AE52" s="73">
        <f t="shared" si="48"/>
        <v>598.37444444444452</v>
      </c>
      <c r="AF52" s="73">
        <f t="shared" si="48"/>
        <v>598.37444444444452</v>
      </c>
      <c r="AG52" s="73">
        <f t="shared" si="48"/>
        <v>598.37444444444452</v>
      </c>
      <c r="AH52" s="73">
        <f t="shared" si="48"/>
        <v>598.37444444444452</v>
      </c>
      <c r="AI52" s="73">
        <f t="shared" si="48"/>
        <v>598.37444444444452</v>
      </c>
      <c r="AJ52" s="73">
        <f t="shared" si="48"/>
        <v>598.37444444444452</v>
      </c>
      <c r="AK52" s="73">
        <f t="shared" si="48"/>
        <v>598.37444444444452</v>
      </c>
      <c r="AL52" s="73">
        <f t="shared" si="48"/>
        <v>598.37444444444452</v>
      </c>
      <c r="AM52" s="73">
        <f t="shared" si="48"/>
        <v>598.37444444444452</v>
      </c>
      <c r="AN52" s="73">
        <f t="shared" si="48"/>
        <v>598.37444444444452</v>
      </c>
      <c r="AO52" s="73">
        <f t="shared" si="48"/>
        <v>598.37444444444452</v>
      </c>
      <c r="AT52" s="48"/>
    </row>
    <row r="53" spans="1:46" s="53" customFormat="1" ht="13.5" x14ac:dyDescent="0.25">
      <c r="A53" s="48"/>
      <c r="B53" s="629"/>
      <c r="C53" s="634"/>
      <c r="D53" s="88"/>
      <c r="E53" s="110" t="s">
        <v>211</v>
      </c>
      <c r="F53" s="88"/>
      <c r="G53" s="73" t="e">
        <f>#REF!+#REF!</f>
        <v>#REF!</v>
      </c>
      <c r="H53" s="73" t="e">
        <f>#REF!+#REF!</f>
        <v>#REF!</v>
      </c>
      <c r="I53" s="73">
        <f>I63+I72</f>
        <v>17810.380371494775</v>
      </c>
      <c r="J53" s="73">
        <f t="shared" ref="J53:AO53" si="49">J63+J72</f>
        <v>17810.380371494775</v>
      </c>
      <c r="K53" s="73">
        <f t="shared" si="49"/>
        <v>17810.380371494775</v>
      </c>
      <c r="L53" s="73">
        <f t="shared" si="49"/>
        <v>17708.059253158001</v>
      </c>
      <c r="M53" s="73">
        <f t="shared" si="49"/>
        <v>17530.95386136261</v>
      </c>
      <c r="N53" s="73">
        <f t="shared" si="49"/>
        <v>17344.572900766158</v>
      </c>
      <c r="O53" s="73">
        <f t="shared" si="49"/>
        <v>17344.572900766158</v>
      </c>
      <c r="P53" s="73">
        <f t="shared" si="49"/>
        <v>17344.572900766158</v>
      </c>
      <c r="Q53" s="73">
        <f t="shared" si="49"/>
        <v>17344.572900766158</v>
      </c>
      <c r="R53" s="73">
        <f t="shared" si="49"/>
        <v>17344.572900766158</v>
      </c>
      <c r="S53" s="73">
        <f t="shared" si="49"/>
        <v>17344.572900766158</v>
      </c>
      <c r="T53" s="73">
        <f t="shared" si="49"/>
        <v>17344.572900766158</v>
      </c>
      <c r="U53" s="73">
        <f t="shared" si="49"/>
        <v>17344.572900766158</v>
      </c>
      <c r="V53" s="73">
        <f t="shared" si="49"/>
        <v>17344.572900766158</v>
      </c>
      <c r="W53" s="73">
        <f t="shared" si="49"/>
        <v>17344.572900766158</v>
      </c>
      <c r="X53" s="73">
        <f t="shared" si="49"/>
        <v>17344.572900766158</v>
      </c>
      <c r="Y53" s="73">
        <f t="shared" si="49"/>
        <v>17344.572900766158</v>
      </c>
      <c r="Z53" s="73">
        <f t="shared" si="49"/>
        <v>17344.572900766158</v>
      </c>
      <c r="AA53" s="73">
        <f t="shared" si="49"/>
        <v>17344.572900766158</v>
      </c>
      <c r="AB53" s="73">
        <f t="shared" si="49"/>
        <v>17344.572900766158</v>
      </c>
      <c r="AC53" s="73">
        <f t="shared" si="49"/>
        <v>17344.572900766158</v>
      </c>
      <c r="AD53" s="73">
        <f t="shared" si="49"/>
        <v>17344.572900766158</v>
      </c>
      <c r="AE53" s="73">
        <f t="shared" si="49"/>
        <v>17344.572900766158</v>
      </c>
      <c r="AF53" s="73">
        <f t="shared" si="49"/>
        <v>17344.572900766158</v>
      </c>
      <c r="AG53" s="73">
        <f t="shared" si="49"/>
        <v>17344.572900766158</v>
      </c>
      <c r="AH53" s="73">
        <f t="shared" si="49"/>
        <v>17344.572900766158</v>
      </c>
      <c r="AI53" s="73">
        <f t="shared" si="49"/>
        <v>17344.572900766158</v>
      </c>
      <c r="AJ53" s="73">
        <f t="shared" si="49"/>
        <v>17344.572900766158</v>
      </c>
      <c r="AK53" s="73">
        <f t="shared" si="49"/>
        <v>17344.572900766158</v>
      </c>
      <c r="AL53" s="73">
        <f t="shared" si="49"/>
        <v>17344.572900766158</v>
      </c>
      <c r="AM53" s="73">
        <f t="shared" si="49"/>
        <v>17344.572900766158</v>
      </c>
      <c r="AN53" s="73">
        <f t="shared" si="49"/>
        <v>17344.572900766158</v>
      </c>
      <c r="AO53" s="73">
        <f t="shared" si="49"/>
        <v>17344.572900766158</v>
      </c>
      <c r="AT53" s="48"/>
    </row>
    <row r="54" spans="1:46" s="53" customFormat="1" ht="13.5" x14ac:dyDescent="0.25">
      <c r="A54" s="48"/>
      <c r="B54" s="629"/>
      <c r="C54" s="635"/>
      <c r="D54" s="88"/>
      <c r="E54" s="110" t="s">
        <v>589</v>
      </c>
      <c r="F54" s="88"/>
      <c r="G54" s="73"/>
      <c r="H54" s="73"/>
      <c r="I54" s="73">
        <f>I53*8.24/0.9/1.162</f>
        <v>140330.40185610726</v>
      </c>
      <c r="J54" s="73">
        <f t="shared" ref="J54:AO54" si="50">J53*8.24/0.9/1.162</f>
        <v>140330.40185610726</v>
      </c>
      <c r="K54" s="73">
        <f t="shared" si="50"/>
        <v>140330.40185610726</v>
      </c>
      <c r="L54" s="73">
        <f t="shared" si="50"/>
        <v>139524.1998910135</v>
      </c>
      <c r="M54" s="73">
        <f t="shared" si="50"/>
        <v>138128.76249534127</v>
      </c>
      <c r="N54" s="73">
        <f t="shared" si="50"/>
        <v>136660.24163541134</v>
      </c>
      <c r="O54" s="73">
        <f t="shared" si="50"/>
        <v>136660.24163541134</v>
      </c>
      <c r="P54" s="73">
        <f t="shared" si="50"/>
        <v>136660.24163541134</v>
      </c>
      <c r="Q54" s="73">
        <f t="shared" si="50"/>
        <v>136660.24163541134</v>
      </c>
      <c r="R54" s="73">
        <f t="shared" si="50"/>
        <v>136660.24163541134</v>
      </c>
      <c r="S54" s="73">
        <f t="shared" si="50"/>
        <v>136660.24163541134</v>
      </c>
      <c r="T54" s="73">
        <f t="shared" si="50"/>
        <v>136660.24163541134</v>
      </c>
      <c r="U54" s="73">
        <f t="shared" si="50"/>
        <v>136660.24163541134</v>
      </c>
      <c r="V54" s="73">
        <f t="shared" si="50"/>
        <v>136660.24163541134</v>
      </c>
      <c r="W54" s="73">
        <f t="shared" si="50"/>
        <v>136660.24163541134</v>
      </c>
      <c r="X54" s="73">
        <f t="shared" si="50"/>
        <v>136660.24163541134</v>
      </c>
      <c r="Y54" s="73">
        <f t="shared" si="50"/>
        <v>136660.24163541134</v>
      </c>
      <c r="Z54" s="73">
        <f t="shared" si="50"/>
        <v>136660.24163541134</v>
      </c>
      <c r="AA54" s="73">
        <f t="shared" si="50"/>
        <v>136660.24163541134</v>
      </c>
      <c r="AB54" s="73">
        <f t="shared" si="50"/>
        <v>136660.24163541134</v>
      </c>
      <c r="AC54" s="73">
        <f t="shared" si="50"/>
        <v>136660.24163541134</v>
      </c>
      <c r="AD54" s="73">
        <f t="shared" si="50"/>
        <v>136660.24163541134</v>
      </c>
      <c r="AE54" s="73">
        <f t="shared" si="50"/>
        <v>136660.24163541134</v>
      </c>
      <c r="AF54" s="73">
        <f t="shared" si="50"/>
        <v>136660.24163541134</v>
      </c>
      <c r="AG54" s="73">
        <f t="shared" si="50"/>
        <v>136660.24163541134</v>
      </c>
      <c r="AH54" s="73">
        <f t="shared" si="50"/>
        <v>136660.24163541134</v>
      </c>
      <c r="AI54" s="73">
        <f t="shared" si="50"/>
        <v>136660.24163541134</v>
      </c>
      <c r="AJ54" s="73">
        <f t="shared" si="50"/>
        <v>136660.24163541134</v>
      </c>
      <c r="AK54" s="73">
        <f t="shared" si="50"/>
        <v>136660.24163541134</v>
      </c>
      <c r="AL54" s="73">
        <f t="shared" si="50"/>
        <v>136660.24163541134</v>
      </c>
      <c r="AM54" s="73">
        <f t="shared" si="50"/>
        <v>136660.24163541134</v>
      </c>
      <c r="AN54" s="73">
        <f t="shared" si="50"/>
        <v>136660.24163541134</v>
      </c>
      <c r="AO54" s="73">
        <f t="shared" si="50"/>
        <v>136660.24163541134</v>
      </c>
      <c r="AT54" s="48"/>
    </row>
    <row r="55" spans="1:46" s="53" customFormat="1" ht="15" x14ac:dyDescent="0.25">
      <c r="A55" s="48"/>
      <c r="B55" s="629">
        <f>B52+1</f>
        <v>34</v>
      </c>
      <c r="C55" s="633" t="s">
        <v>568</v>
      </c>
      <c r="D55" s="121"/>
      <c r="E55" s="110" t="s">
        <v>196</v>
      </c>
      <c r="F55" s="88"/>
      <c r="G55" s="73" t="e">
        <f>#REF!</f>
        <v>#REF!</v>
      </c>
      <c r="H55" s="73" t="e">
        <f>#REF!</f>
        <v>#REF!</v>
      </c>
      <c r="I55" s="73">
        <f>I64+I73</f>
        <v>2804.6207698872813</v>
      </c>
      <c r="J55" s="73">
        <f t="shared" ref="J55:AO55" si="51">J64+J73</f>
        <v>2753.7207986716958</v>
      </c>
      <c r="K55" s="73">
        <f t="shared" si="51"/>
        <v>2704.2666665434062</v>
      </c>
      <c r="L55" s="73">
        <f t="shared" si="51"/>
        <v>2567.9002335606756</v>
      </c>
      <c r="M55" s="73">
        <f t="shared" si="51"/>
        <v>2368.0356468176233</v>
      </c>
      <c r="N55" s="73">
        <f t="shared" si="51"/>
        <v>2160.6282841371331</v>
      </c>
      <c r="O55" s="73">
        <f t="shared" si="51"/>
        <v>2138.1611735264751</v>
      </c>
      <c r="P55" s="73">
        <f t="shared" si="51"/>
        <v>2116.0716453940013</v>
      </c>
      <c r="Q55" s="73">
        <f t="shared" si="51"/>
        <v>2094.3529287499841</v>
      </c>
      <c r="R55" s="73">
        <f t="shared" si="51"/>
        <v>2072.9983758679591</v>
      </c>
      <c r="S55" s="73">
        <f t="shared" si="51"/>
        <v>2058.8675442899284</v>
      </c>
      <c r="T55" s="73">
        <f t="shared" si="51"/>
        <v>2044.9677853667561</v>
      </c>
      <c r="U55" s="73">
        <f t="shared" si="51"/>
        <v>2031.2949105481582</v>
      </c>
      <c r="V55" s="73">
        <f t="shared" si="51"/>
        <v>2017.8448089828364</v>
      </c>
      <c r="W55" s="73">
        <f t="shared" si="51"/>
        <v>2004.6134460702094</v>
      </c>
      <c r="X55" s="73">
        <f t="shared" si="51"/>
        <v>1991.5968620391575</v>
      </c>
      <c r="Y55" s="73">
        <f t="shared" si="51"/>
        <v>1978.7911705532854</v>
      </c>
      <c r="Z55" s="73">
        <f t="shared" si="51"/>
        <v>1966.1925573422129</v>
      </c>
      <c r="AA55" s="73">
        <f t="shared" si="51"/>
        <v>1953.7972788583918</v>
      </c>
      <c r="AB55" s="73">
        <f t="shared" si="51"/>
        <v>1941.6016609589958</v>
      </c>
      <c r="AC55" s="73">
        <f t="shared" si="51"/>
        <v>1929.6020976123948</v>
      </c>
      <c r="AD55" s="73">
        <f t="shared" si="51"/>
        <v>1927.1787766854457</v>
      </c>
      <c r="AE55" s="73">
        <f t="shared" si="51"/>
        <v>1924.8213148266434</v>
      </c>
      <c r="AF55" s="73">
        <f t="shared" si="51"/>
        <v>1922.5292615746023</v>
      </c>
      <c r="AG55" s="73">
        <f t="shared" si="51"/>
        <v>1920.3021720131953</v>
      </c>
      <c r="AH55" s="73">
        <f t="shared" si="51"/>
        <v>1918.1396067213057</v>
      </c>
      <c r="AI55" s="73">
        <f t="shared" si="51"/>
        <v>1916.0411317231089</v>
      </c>
      <c r="AJ55" s="73">
        <f t="shared" si="51"/>
        <v>1914.0063184388721</v>
      </c>
      <c r="AK55" s="73">
        <f t="shared" si="51"/>
        <v>1912.0347436362747</v>
      </c>
      <c r="AL55" s="73">
        <f t="shared" si="51"/>
        <v>1910.1259893822455</v>
      </c>
      <c r="AM55" s="73">
        <f t="shared" si="51"/>
        <v>1908.2796429952998</v>
      </c>
      <c r="AN55" s="73">
        <f t="shared" si="51"/>
        <v>1899.0768963858825</v>
      </c>
      <c r="AO55" s="73">
        <f t="shared" si="51"/>
        <v>1889.954028502337</v>
      </c>
      <c r="AT55" s="48"/>
    </row>
    <row r="56" spans="1:46" s="53" customFormat="1" ht="13.5" x14ac:dyDescent="0.25">
      <c r="A56" s="48"/>
      <c r="B56" s="629"/>
      <c r="C56" s="635"/>
      <c r="D56" s="88"/>
      <c r="E56" s="110" t="s">
        <v>198</v>
      </c>
      <c r="F56" s="88"/>
      <c r="G56" s="73" t="e">
        <f>#REF!</f>
        <v>#REF!</v>
      </c>
      <c r="H56" s="73" t="e">
        <f>#REF!</f>
        <v>#REF!</v>
      </c>
      <c r="I56" s="73">
        <f>I65+I74</f>
        <v>176331.6308348047</v>
      </c>
      <c r="J56" s="73">
        <f t="shared" ref="J56:AO56" si="52">J65+J74</f>
        <v>173131.45666856633</v>
      </c>
      <c r="K56" s="73">
        <f t="shared" si="52"/>
        <v>170022.18504677355</v>
      </c>
      <c r="L56" s="73">
        <f t="shared" si="52"/>
        <v>161448.57831279203</v>
      </c>
      <c r="M56" s="73">
        <f t="shared" si="52"/>
        <v>148882.72666364265</v>
      </c>
      <c r="N56" s="73">
        <f t="shared" si="52"/>
        <v>135842.64691337163</v>
      </c>
      <c r="O56" s="73">
        <f t="shared" si="52"/>
        <v>134430.09862996059</v>
      </c>
      <c r="P56" s="73">
        <f t="shared" si="52"/>
        <v>133041.28964666015</v>
      </c>
      <c r="Q56" s="73">
        <f t="shared" si="52"/>
        <v>131675.79425897804</v>
      </c>
      <c r="R56" s="73">
        <f t="shared" si="52"/>
        <v>130333.19451220839</v>
      </c>
      <c r="S56" s="73">
        <f t="shared" si="52"/>
        <v>129444.76331895788</v>
      </c>
      <c r="T56" s="73">
        <f t="shared" si="52"/>
        <v>128570.86008560483</v>
      </c>
      <c r="U56" s="73">
        <f t="shared" si="52"/>
        <v>127711.22147034193</v>
      </c>
      <c r="V56" s="73">
        <f t="shared" si="52"/>
        <v>126865.58901643899</v>
      </c>
      <c r="W56" s="73">
        <f t="shared" si="52"/>
        <v>126033.70906118769</v>
      </c>
      <c r="X56" s="73">
        <f t="shared" si="52"/>
        <v>125215.33264654469</v>
      </c>
      <c r="Y56" s="73">
        <f t="shared" si="52"/>
        <v>124410.21543144186</v>
      </c>
      <c r="Z56" s="73">
        <f t="shared" si="52"/>
        <v>123618.1176057331</v>
      </c>
      <c r="AA56" s="73">
        <f t="shared" si="52"/>
        <v>122838.80380574595</v>
      </c>
      <c r="AB56" s="73">
        <f t="shared" si="52"/>
        <v>122072.04303140959</v>
      </c>
      <c r="AC56" s="73">
        <f t="shared" si="52"/>
        <v>121317.60856492849</v>
      </c>
      <c r="AD56" s="73">
        <f t="shared" si="52"/>
        <v>121165.24995171669</v>
      </c>
      <c r="AE56" s="73">
        <f t="shared" si="52"/>
        <v>121017.03201842007</v>
      </c>
      <c r="AF56" s="73">
        <f t="shared" si="52"/>
        <v>120872.92644370849</v>
      </c>
      <c r="AG56" s="73">
        <f t="shared" si="52"/>
        <v>120732.90525489235</v>
      </c>
      <c r="AH56" s="73">
        <f t="shared" si="52"/>
        <v>120596.94082476337</v>
      </c>
      <c r="AI56" s="73">
        <f t="shared" si="52"/>
        <v>120465.00586846874</v>
      </c>
      <c r="AJ56" s="73">
        <f t="shared" si="52"/>
        <v>120337.07344041778</v>
      </c>
      <c r="AK56" s="73">
        <f t="shared" si="52"/>
        <v>120213.11693122143</v>
      </c>
      <c r="AL56" s="73">
        <f t="shared" si="52"/>
        <v>120093.11006466408</v>
      </c>
      <c r="AM56" s="73">
        <f t="shared" si="52"/>
        <v>119977.02689470697</v>
      </c>
      <c r="AN56" s="73">
        <f t="shared" si="52"/>
        <v>119398.43340526945</v>
      </c>
      <c r="AO56" s="73">
        <f t="shared" si="52"/>
        <v>118824.86203723715</v>
      </c>
      <c r="AT56" s="48"/>
    </row>
    <row r="57" spans="1:46" s="53" customFormat="1" ht="14.25" thickBot="1" x14ac:dyDescent="0.3">
      <c r="A57" s="48"/>
      <c r="B57" s="54"/>
      <c r="C57" s="124"/>
      <c r="D57" s="54"/>
      <c r="E57" s="125"/>
      <c r="F57" s="126"/>
      <c r="G57" s="116"/>
      <c r="H57" s="116"/>
      <c r="I57" s="117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T57" s="48"/>
    </row>
    <row r="58" spans="1:46" s="53" customFormat="1" ht="15.75" thickBot="1" x14ac:dyDescent="0.3">
      <c r="A58" s="48"/>
      <c r="B58" s="107"/>
      <c r="C58" s="106" t="s">
        <v>199</v>
      </c>
      <c r="D58" s="54"/>
      <c r="E58" s="127"/>
      <c r="F58" s="126"/>
      <c r="G58" s="128"/>
      <c r="H58" s="128"/>
      <c r="I58" s="129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T58" s="48"/>
    </row>
    <row r="59" spans="1:46" s="53" customFormat="1" ht="17.25" customHeight="1" x14ac:dyDescent="0.25">
      <c r="A59" s="48"/>
      <c r="B59" s="107">
        <f>B55+1</f>
        <v>35</v>
      </c>
      <c r="C59" s="111" t="s">
        <v>200</v>
      </c>
      <c r="D59" s="109"/>
      <c r="E59" s="130" t="s">
        <v>192</v>
      </c>
      <c r="F59" s="109"/>
      <c r="G59" s="73">
        <f>G46</f>
        <v>126.1</v>
      </c>
      <c r="H59" s="73">
        <f>H46</f>
        <v>222.25</v>
      </c>
      <c r="I59" s="86">
        <f>I60*0.35</f>
        <v>215.50385528081881</v>
      </c>
      <c r="J59" s="86">
        <f t="shared" ref="J59:AO59" si="53">J60*0.35</f>
        <v>212.29333214423929</v>
      </c>
      <c r="K59" s="86">
        <f t="shared" si="53"/>
        <v>209.17400551977312</v>
      </c>
      <c r="L59" s="86">
        <f t="shared" si="53"/>
        <v>200.35001752744827</v>
      </c>
      <c r="M59" s="86">
        <f t="shared" si="53"/>
        <v>187.35814031232917</v>
      </c>
      <c r="N59" s="86">
        <f t="shared" si="53"/>
        <v>173.87031735378383</v>
      </c>
      <c r="O59" s="86">
        <f t="shared" si="53"/>
        <v>172.45320106265473</v>
      </c>
      <c r="P59" s="86">
        <f t="shared" si="53"/>
        <v>171.05990084161814</v>
      </c>
      <c r="Q59" s="86">
        <f t="shared" si="53"/>
        <v>169.68998960950563</v>
      </c>
      <c r="R59" s="86">
        <f t="shared" si="53"/>
        <v>168.3430480599973</v>
      </c>
      <c r="S59" s="86">
        <f t="shared" si="53"/>
        <v>167.451743789348</v>
      </c>
      <c r="T59" s="86">
        <f t="shared" si="53"/>
        <v>166.5750144602348</v>
      </c>
      <c r="U59" s="86">
        <f t="shared" si="53"/>
        <v>165.71259587923518</v>
      </c>
      <c r="V59" s="86">
        <f t="shared" si="53"/>
        <v>164.86422875380177</v>
      </c>
      <c r="W59" s="86">
        <f t="shared" si="53"/>
        <v>164.02965860091211</v>
      </c>
      <c r="X59" s="86">
        <f t="shared" si="53"/>
        <v>163.20863565742312</v>
      </c>
      <c r="Y59" s="86">
        <f t="shared" si="53"/>
        <v>162.40091479209772</v>
      </c>
      <c r="Z59" s="86">
        <f t="shared" si="53"/>
        <v>161.60625541927317</v>
      </c>
      <c r="AA59" s="86">
        <f t="shared" si="53"/>
        <v>160.82442141413978</v>
      </c>
      <c r="AB59" s="86">
        <f t="shared" si="53"/>
        <v>160.0551810296009</v>
      </c>
      <c r="AC59" s="86">
        <f t="shared" si="53"/>
        <v>159.29830681468354</v>
      </c>
      <c r="AD59" s="86">
        <f t="shared" si="53"/>
        <v>159.14545549242294</v>
      </c>
      <c r="AE59" s="86">
        <f t="shared" si="53"/>
        <v>158.99675824052801</v>
      </c>
      <c r="AF59" s="86">
        <f t="shared" si="53"/>
        <v>158.85218664608087</v>
      </c>
      <c r="AG59" s="86">
        <f t="shared" si="53"/>
        <v>158.71171264593167</v>
      </c>
      <c r="AH59" s="86">
        <f t="shared" si="53"/>
        <v>158.57530852352917</v>
      </c>
      <c r="AI59" s="86">
        <f t="shared" si="53"/>
        <v>158.44294690578465</v>
      </c>
      <c r="AJ59" s="86">
        <f t="shared" si="53"/>
        <v>158.31460075996873</v>
      </c>
      <c r="AK59" s="86">
        <f t="shared" si="53"/>
        <v>158.19024339064083</v>
      </c>
      <c r="AL59" s="86">
        <f t="shared" si="53"/>
        <v>158.06984843661127</v>
      </c>
      <c r="AM59" s="86">
        <f t="shared" si="53"/>
        <v>157.95338986793502</v>
      </c>
      <c r="AN59" s="86">
        <f t="shared" si="53"/>
        <v>157.3729252781915</v>
      </c>
      <c r="AO59" s="86">
        <f t="shared" si="53"/>
        <v>156.79749905077719</v>
      </c>
      <c r="AT59" s="48"/>
    </row>
    <row r="60" spans="1:46" s="53" customFormat="1" ht="19.5" customHeight="1" x14ac:dyDescent="0.25">
      <c r="A60" s="48"/>
      <c r="B60" s="107">
        <f t="shared" ref="B60:B83" si="54">B59+1</f>
        <v>36</v>
      </c>
      <c r="C60" s="111" t="s">
        <v>201</v>
      </c>
      <c r="D60" s="109"/>
      <c r="E60" s="130" t="s">
        <v>188</v>
      </c>
      <c r="F60" s="109"/>
      <c r="G60" s="73">
        <f t="shared" ref="G60:AO60" si="55">G40-G69</f>
        <v>642.18049559999997</v>
      </c>
      <c r="H60" s="73">
        <f t="shared" si="55"/>
        <v>625.12765919999993</v>
      </c>
      <c r="I60" s="73">
        <f t="shared" si="55"/>
        <v>615.72530080233946</v>
      </c>
      <c r="J60" s="73">
        <f t="shared" si="55"/>
        <v>606.55237755496944</v>
      </c>
      <c r="K60" s="73">
        <f t="shared" si="55"/>
        <v>597.64001577078034</v>
      </c>
      <c r="L60" s="73">
        <f t="shared" si="55"/>
        <v>572.42862150699511</v>
      </c>
      <c r="M60" s="73">
        <f t="shared" si="55"/>
        <v>535.30897232094048</v>
      </c>
      <c r="N60" s="73">
        <f t="shared" si="55"/>
        <v>496.77233529652523</v>
      </c>
      <c r="O60" s="73">
        <f t="shared" si="55"/>
        <v>492.72343160758493</v>
      </c>
      <c r="P60" s="73">
        <f t="shared" si="55"/>
        <v>488.74257383319474</v>
      </c>
      <c r="Q60" s="73">
        <f t="shared" si="55"/>
        <v>484.82854174144467</v>
      </c>
      <c r="R60" s="73">
        <f t="shared" si="55"/>
        <v>480.98013731427801</v>
      </c>
      <c r="S60" s="73">
        <f t="shared" si="55"/>
        <v>478.43355368385147</v>
      </c>
      <c r="T60" s="73">
        <f t="shared" si="55"/>
        <v>475.92861274352805</v>
      </c>
      <c r="U60" s="73">
        <f t="shared" si="55"/>
        <v>473.46455965495772</v>
      </c>
      <c r="V60" s="73">
        <f t="shared" si="55"/>
        <v>471.04065358229076</v>
      </c>
      <c r="W60" s="73">
        <f t="shared" si="55"/>
        <v>468.65616743117749</v>
      </c>
      <c r="X60" s="73">
        <f t="shared" si="55"/>
        <v>466.31038759263754</v>
      </c>
      <c r="Y60" s="73">
        <f t="shared" si="55"/>
        <v>464.00261369170784</v>
      </c>
      <c r="Z60" s="73">
        <f t="shared" si="55"/>
        <v>461.73215834078047</v>
      </c>
      <c r="AA60" s="73">
        <f t="shared" si="55"/>
        <v>459.49834689754226</v>
      </c>
      <c r="AB60" s="73">
        <f t="shared" si="55"/>
        <v>457.30051722743121</v>
      </c>
      <c r="AC60" s="73">
        <f t="shared" si="55"/>
        <v>455.13801947052445</v>
      </c>
      <c r="AD60" s="73">
        <f t="shared" si="55"/>
        <v>454.70130140692271</v>
      </c>
      <c r="AE60" s="73">
        <f t="shared" si="55"/>
        <v>454.27645211579431</v>
      </c>
      <c r="AF60" s="73">
        <f t="shared" si="55"/>
        <v>453.86339041737392</v>
      </c>
      <c r="AG60" s="73">
        <f t="shared" si="55"/>
        <v>453.46203613123333</v>
      </c>
      <c r="AH60" s="73">
        <f t="shared" si="55"/>
        <v>453.07231006722623</v>
      </c>
      <c r="AI60" s="73">
        <f t="shared" si="55"/>
        <v>452.69413401652764</v>
      </c>
      <c r="AJ60" s="73">
        <f t="shared" si="55"/>
        <v>452.32743074276783</v>
      </c>
      <c r="AK60" s="73">
        <f t="shared" si="55"/>
        <v>451.97212397325956</v>
      </c>
      <c r="AL60" s="73">
        <f t="shared" si="55"/>
        <v>451.62813839031793</v>
      </c>
      <c r="AM60" s="73">
        <f t="shared" si="55"/>
        <v>451.29539962267154</v>
      </c>
      <c r="AN60" s="73">
        <f t="shared" si="55"/>
        <v>449.63692936626143</v>
      </c>
      <c r="AO60" s="73">
        <f t="shared" si="55"/>
        <v>447.99285443079197</v>
      </c>
      <c r="AT60" s="48"/>
    </row>
    <row r="61" spans="1:46" s="53" customFormat="1" ht="19.5" customHeight="1" x14ac:dyDescent="0.25">
      <c r="A61" s="48"/>
      <c r="B61" s="107">
        <f>B60+1</f>
        <v>37</v>
      </c>
      <c r="C61" s="466" t="s">
        <v>570</v>
      </c>
      <c r="D61" s="109"/>
      <c r="E61" s="130" t="s">
        <v>192</v>
      </c>
      <c r="F61" s="109"/>
      <c r="G61" s="73">
        <f>(((G60*1000/'1.Input'!$K$63)*'1.Input'!$K$61)/1000)+'3.BilantPRO'!G59</f>
        <v>304.48347100000001</v>
      </c>
      <c r="H61" s="73">
        <f>(((H60*1000/'1.Input'!$K$63)*'1.Input'!$K$61)/1000)+'3.BilantPRO'!H59</f>
        <v>395.89657199999999</v>
      </c>
      <c r="I61" s="84">
        <f>(((I60*1000/'1.Input'!$K$63)*'1.Input'!$K$61)/1000)+'3.BilantPRO'!I59</f>
        <v>386.53866105924646</v>
      </c>
      <c r="J61" s="73">
        <f>(((J60*1000/'1.Input'!$K$63)*'1.Input'!$K$61)/1000)+'3.BilantPRO'!J59</f>
        <v>380.78010368728633</v>
      </c>
      <c r="K61" s="73">
        <f>(((K60*1000/'1.Input'!$K$63)*'1.Input'!$K$61)/1000)+'3.BilantPRO'!K59</f>
        <v>375.18512101165658</v>
      </c>
      <c r="L61" s="73">
        <f>(((L60*1000/'1.Input'!$K$63)*'1.Input'!$K$61)/1000)+'3.BilantPRO'!L59</f>
        <v>359.35796794605801</v>
      </c>
      <c r="M61" s="73">
        <f>(((M60*1000/'1.Input'!$K$63)*'1.Input'!$K$61)/1000)+'3.BilantPRO'!M59</f>
        <v>336.05507706814598</v>
      </c>
      <c r="N61" s="73">
        <f>(((N60*1000/'1.Input'!$K$63)*'1.Input'!$K$61)/1000)+'3.BilantPRO'!N59</f>
        <v>311.86263271392977</v>
      </c>
      <c r="O61" s="73">
        <f>(((O60*1000/'1.Input'!$K$63)*'1.Input'!$K$61)/1000)+'3.BilantPRO'!O59</f>
        <v>309.32082095365058</v>
      </c>
      <c r="P61" s="73">
        <f>(((P60*1000/'1.Input'!$K$63)*'1.Input'!$K$61)/1000)+'3.BilantPRO'!P59</f>
        <v>306.82172690639447</v>
      </c>
      <c r="Q61" s="73">
        <f>(((Q60*1000/'1.Input'!$K$63)*'1.Input'!$K$61)/1000)+'3.BilantPRO'!Q59</f>
        <v>304.36458453768472</v>
      </c>
      <c r="R61" s="73">
        <f>(((R60*1000/'1.Input'!$K$63)*'1.Input'!$K$61)/1000)+'3.BilantPRO'!R59</f>
        <v>301.94864175840786</v>
      </c>
      <c r="S61" s="73">
        <f>(((S60*1000/'1.Input'!$K$63)*'1.Input'!$K$61)/1000)+'3.BilantPRO'!S59</f>
        <v>300.34995314597342</v>
      </c>
      <c r="T61" s="73">
        <f>(((T60*1000/'1.Input'!$K$63)*'1.Input'!$K$61)/1000)+'3.BilantPRO'!T59</f>
        <v>298.77740688899257</v>
      </c>
      <c r="U61" s="73">
        <f>(((U60*1000/'1.Input'!$K$63)*'1.Input'!$K$61)/1000)+'3.BilantPRO'!U59</f>
        <v>297.23052911672346</v>
      </c>
      <c r="V61" s="73">
        <f>(((V60*1000/'1.Input'!$K$63)*'1.Input'!$K$61)/1000)+'3.BilantPRO'!V59</f>
        <v>295.70885474888252</v>
      </c>
      <c r="W61" s="73">
        <f>(((W60*1000/'1.Input'!$K$63)*'1.Input'!$K$61)/1000)+'3.BilantPRO'!W59</f>
        <v>294.21192733179475</v>
      </c>
      <c r="X61" s="73">
        <f>(((X60*1000/'1.Input'!$K$63)*'1.Input'!$K$61)/1000)+'3.BilantPRO'!X59</f>
        <v>292.73929887760022</v>
      </c>
      <c r="Y61" s="73">
        <f>(((Y60*1000/'1.Input'!$K$63)*'1.Input'!$K$61)/1000)+'3.BilantPRO'!Y59</f>
        <v>291.29052970646103</v>
      </c>
      <c r="Z61" s="73">
        <f>(((Z60*1000/'1.Input'!$K$63)*'1.Input'!$K$61)/1000)+'3.BilantPRO'!Z59</f>
        <v>289.86518829171223</v>
      </c>
      <c r="AA61" s="73">
        <f>(((AA60*1000/'1.Input'!$K$63)*'1.Input'!$K$61)/1000)+'3.BilantPRO'!AA59</f>
        <v>288.46285110790154</v>
      </c>
      <c r="AB61" s="73">
        <f>(((AB60*1000/'1.Input'!$K$63)*'1.Input'!$K$61)/1000)+'3.BilantPRO'!AB59</f>
        <v>287.08310248166515</v>
      </c>
      <c r="AC61" s="73">
        <f>(((AC60*1000/'1.Input'!$K$63)*'1.Input'!$K$61)/1000)+'3.BilantPRO'!AC59</f>
        <v>285.72553444538477</v>
      </c>
      <c r="AD61" s="73">
        <f>(((AD60*1000/'1.Input'!$K$63)*'1.Input'!$K$61)/1000)+'3.BilantPRO'!AD59</f>
        <v>285.45137254990146</v>
      </c>
      <c r="AE61" s="73">
        <f>(((AE60*1000/'1.Input'!$K$63)*'1.Input'!$K$61)/1000)+'3.BilantPRO'!AE59</f>
        <v>285.18466160602645</v>
      </c>
      <c r="AF61" s="73">
        <f>(((AF60*1000/'1.Input'!$K$63)*'1.Input'!$K$61)/1000)+'3.BilantPRO'!AF59</f>
        <v>284.92535065090698</v>
      </c>
      <c r="AG61" s="73">
        <f>(((AG60*1000/'1.Input'!$K$63)*'1.Input'!$K$61)/1000)+'3.BilantPRO'!AG59</f>
        <v>284.67338934905206</v>
      </c>
      <c r="AH61" s="73">
        <f>(((AH60*1000/'1.Input'!$K$63)*'1.Input'!$K$61)/1000)+'3.BilantPRO'!AH59</f>
        <v>284.42872798664757</v>
      </c>
      <c r="AI61" s="73">
        <f>(((AI60*1000/'1.Input'!$K$63)*'1.Input'!$K$61)/1000)+'3.BilantPRO'!AI59</f>
        <v>284.19131746593121</v>
      </c>
      <c r="AJ61" s="73">
        <f>(((AJ60*1000/'1.Input'!$K$63)*'1.Input'!$K$61)/1000)+'3.BilantPRO'!AJ59</f>
        <v>283.96110929962646</v>
      </c>
      <c r="AK61" s="73">
        <f>(((AK60*1000/'1.Input'!$K$63)*'1.Input'!$K$61)/1000)+'3.BilantPRO'!AK59</f>
        <v>283.73805560543514</v>
      </c>
      <c r="AL61" s="73">
        <f>(((AL60*1000/'1.Input'!$K$63)*'1.Input'!$K$61)/1000)+'3.BilantPRO'!AL59</f>
        <v>283.52210910058847</v>
      </c>
      <c r="AM61" s="73">
        <f>(((AM60*1000/'1.Input'!$K$63)*'1.Input'!$K$61)/1000)+'3.BilantPRO'!AM59</f>
        <v>283.31322309645492</v>
      </c>
      <c r="AN61" s="73">
        <f>(((AN60*1000/'1.Input'!$K$63)*'1.Input'!$K$61)/1000)+'3.BilantPRO'!AN59</f>
        <v>282.27207232437524</v>
      </c>
      <c r="AO61" s="73">
        <f>(((AO60*1000/'1.Input'!$K$63)*'1.Input'!$K$61)/1000)+'3.BilantPRO'!AO59</f>
        <v>281.23995861488606</v>
      </c>
      <c r="AT61" s="48"/>
    </row>
    <row r="62" spans="1:46" s="53" customFormat="1" ht="13.5" x14ac:dyDescent="0.25">
      <c r="A62" s="48"/>
      <c r="B62" s="629">
        <f>B61+1</f>
        <v>38</v>
      </c>
      <c r="C62" s="631" t="s">
        <v>215</v>
      </c>
      <c r="D62" s="109"/>
      <c r="E62" s="130" t="s">
        <v>196</v>
      </c>
      <c r="F62" s="109"/>
      <c r="G62" s="122" t="e">
        <f>#REF!+#REF!</f>
        <v>#REF!</v>
      </c>
      <c r="H62" s="122" t="e">
        <f>#REF!+#REF!</f>
        <v>#REF!</v>
      </c>
      <c r="I62" s="122">
        <f>'2.BilantNOPRO'!I62</f>
        <v>612</v>
      </c>
      <c r="J62" s="122">
        <f>'2.BilantNOPRO'!J62</f>
        <v>612</v>
      </c>
      <c r="K62" s="122">
        <f>'2.BilantNOPRO'!K62</f>
        <v>612</v>
      </c>
      <c r="L62" s="122">
        <f>K62-3.53</f>
        <v>608.47</v>
      </c>
      <c r="M62" s="122">
        <f>L62-6.11</f>
        <v>602.36</v>
      </c>
      <c r="N62" s="122">
        <f>M62-6.43</f>
        <v>595.93000000000006</v>
      </c>
      <c r="O62" s="122">
        <f>N62</f>
        <v>595.93000000000006</v>
      </c>
      <c r="P62" s="122">
        <f t="shared" ref="P62:AO62" si="56">O62</f>
        <v>595.93000000000006</v>
      </c>
      <c r="Q62" s="122">
        <f t="shared" si="56"/>
        <v>595.93000000000006</v>
      </c>
      <c r="R62" s="122">
        <f t="shared" si="56"/>
        <v>595.93000000000006</v>
      </c>
      <c r="S62" s="122">
        <f t="shared" si="56"/>
        <v>595.93000000000006</v>
      </c>
      <c r="T62" s="122">
        <f t="shared" si="56"/>
        <v>595.93000000000006</v>
      </c>
      <c r="U62" s="122">
        <f t="shared" si="56"/>
        <v>595.93000000000006</v>
      </c>
      <c r="V62" s="122">
        <f t="shared" si="56"/>
        <v>595.93000000000006</v>
      </c>
      <c r="W62" s="122">
        <f t="shared" si="56"/>
        <v>595.93000000000006</v>
      </c>
      <c r="X62" s="122">
        <f t="shared" si="56"/>
        <v>595.93000000000006</v>
      </c>
      <c r="Y62" s="122">
        <f t="shared" si="56"/>
        <v>595.93000000000006</v>
      </c>
      <c r="Z62" s="122">
        <f t="shared" si="56"/>
        <v>595.93000000000006</v>
      </c>
      <c r="AA62" s="122">
        <f t="shared" si="56"/>
        <v>595.93000000000006</v>
      </c>
      <c r="AB62" s="122">
        <f t="shared" si="56"/>
        <v>595.93000000000006</v>
      </c>
      <c r="AC62" s="122">
        <f t="shared" si="56"/>
        <v>595.93000000000006</v>
      </c>
      <c r="AD62" s="122">
        <f t="shared" si="56"/>
        <v>595.93000000000006</v>
      </c>
      <c r="AE62" s="122">
        <f t="shared" si="56"/>
        <v>595.93000000000006</v>
      </c>
      <c r="AF62" s="122">
        <f t="shared" si="56"/>
        <v>595.93000000000006</v>
      </c>
      <c r="AG62" s="122">
        <f t="shared" si="56"/>
        <v>595.93000000000006</v>
      </c>
      <c r="AH62" s="122">
        <f t="shared" si="56"/>
        <v>595.93000000000006</v>
      </c>
      <c r="AI62" s="122">
        <f t="shared" si="56"/>
        <v>595.93000000000006</v>
      </c>
      <c r="AJ62" s="122">
        <f t="shared" si="56"/>
        <v>595.93000000000006</v>
      </c>
      <c r="AK62" s="122">
        <f t="shared" si="56"/>
        <v>595.93000000000006</v>
      </c>
      <c r="AL62" s="122">
        <f t="shared" si="56"/>
        <v>595.93000000000006</v>
      </c>
      <c r="AM62" s="122">
        <f t="shared" si="56"/>
        <v>595.93000000000006</v>
      </c>
      <c r="AN62" s="122">
        <f t="shared" si="56"/>
        <v>595.93000000000006</v>
      </c>
      <c r="AO62" s="122">
        <f t="shared" si="56"/>
        <v>595.93000000000006</v>
      </c>
      <c r="AT62" s="48"/>
    </row>
    <row r="63" spans="1:46" s="53" customFormat="1" ht="13.5" x14ac:dyDescent="0.25">
      <c r="A63" s="48"/>
      <c r="B63" s="629"/>
      <c r="C63" s="632"/>
      <c r="D63" s="88"/>
      <c r="E63" s="130" t="s">
        <v>197</v>
      </c>
      <c r="F63" s="109"/>
      <c r="G63" s="122" t="e">
        <f>#REF!+#REF!</f>
        <v>#REF!</v>
      </c>
      <c r="H63" s="122" t="e">
        <f>#REF!+#REF!</f>
        <v>#REF!</v>
      </c>
      <c r="I63" s="122">
        <f>(I62*1000/'1.Input'!$K$63)/8.24</f>
        <v>17739.525332042173</v>
      </c>
      <c r="J63" s="122">
        <f>(J62*1000/'1.Input'!$K$63)/8.24</f>
        <v>17739.525332042173</v>
      </c>
      <c r="K63" s="122">
        <f>(K62*1000/'1.Input'!$K$63)/8.24</f>
        <v>17739.525332042173</v>
      </c>
      <c r="L63" s="122">
        <f>(L62*1000/'1.Input'!$K$63)/8.24</f>
        <v>17637.204213705398</v>
      </c>
      <c r="M63" s="122">
        <f>(M62*1000/'1.Input'!$K$63)/8.24</f>
        <v>17460.098821910007</v>
      </c>
      <c r="N63" s="122">
        <f>(N62*1000/'1.Input'!$K$63)/8.24</f>
        <v>17273.717861313555</v>
      </c>
      <c r="O63" s="122">
        <f>(O62*1000/'1.Input'!$K$63)/8.24</f>
        <v>17273.717861313555</v>
      </c>
      <c r="P63" s="122">
        <f>(P62*1000/'1.Input'!$K$63)/8.24</f>
        <v>17273.717861313555</v>
      </c>
      <c r="Q63" s="122">
        <f>(Q62*1000/'1.Input'!$K$63)/8.24</f>
        <v>17273.717861313555</v>
      </c>
      <c r="R63" s="122">
        <f>(R62*1000/'1.Input'!$K$63)/8.24</f>
        <v>17273.717861313555</v>
      </c>
      <c r="S63" s="122">
        <f>(S62*1000/'1.Input'!$K$63)/8.24</f>
        <v>17273.717861313555</v>
      </c>
      <c r="T63" s="122">
        <f>(T62*1000/'1.Input'!$K$63)/8.24</f>
        <v>17273.717861313555</v>
      </c>
      <c r="U63" s="122">
        <f>(U62*1000/'1.Input'!$K$63)/8.24</f>
        <v>17273.717861313555</v>
      </c>
      <c r="V63" s="122">
        <f>(V62*1000/'1.Input'!$K$63)/8.24</f>
        <v>17273.717861313555</v>
      </c>
      <c r="W63" s="122">
        <f>(W62*1000/'1.Input'!$K$63)/8.24</f>
        <v>17273.717861313555</v>
      </c>
      <c r="X63" s="122">
        <f>(X62*1000/'1.Input'!$K$63)/8.24</f>
        <v>17273.717861313555</v>
      </c>
      <c r="Y63" s="122">
        <f>(Y62*1000/'1.Input'!$K$63)/8.24</f>
        <v>17273.717861313555</v>
      </c>
      <c r="Z63" s="122">
        <f>(Z62*1000/'1.Input'!$K$63)/8.24</f>
        <v>17273.717861313555</v>
      </c>
      <c r="AA63" s="122">
        <f>(AA62*1000/'1.Input'!$K$63)/8.24</f>
        <v>17273.717861313555</v>
      </c>
      <c r="AB63" s="122">
        <f>(AB62*1000/'1.Input'!$K$63)/8.24</f>
        <v>17273.717861313555</v>
      </c>
      <c r="AC63" s="122">
        <f>(AC62*1000/'1.Input'!$K$63)/8.24</f>
        <v>17273.717861313555</v>
      </c>
      <c r="AD63" s="122">
        <f>(AD62*1000/'1.Input'!$K$63)/8.24</f>
        <v>17273.717861313555</v>
      </c>
      <c r="AE63" s="122">
        <f>(AE62*1000/'1.Input'!$K$63)/8.24</f>
        <v>17273.717861313555</v>
      </c>
      <c r="AF63" s="122">
        <f>(AF62*1000/'1.Input'!$K$63)/8.24</f>
        <v>17273.717861313555</v>
      </c>
      <c r="AG63" s="122">
        <f>(AG62*1000/'1.Input'!$K$63)/8.24</f>
        <v>17273.717861313555</v>
      </c>
      <c r="AH63" s="122">
        <f>(AH62*1000/'1.Input'!$K$63)/8.24</f>
        <v>17273.717861313555</v>
      </c>
      <c r="AI63" s="122">
        <f>(AI62*1000/'1.Input'!$K$63)/8.24</f>
        <v>17273.717861313555</v>
      </c>
      <c r="AJ63" s="122">
        <f>(AJ62*1000/'1.Input'!$K$63)/8.24</f>
        <v>17273.717861313555</v>
      </c>
      <c r="AK63" s="122">
        <f>(AK62*1000/'1.Input'!$K$63)/8.24</f>
        <v>17273.717861313555</v>
      </c>
      <c r="AL63" s="122">
        <f>(AL62*1000/'1.Input'!$K$63)/8.24</f>
        <v>17273.717861313555</v>
      </c>
      <c r="AM63" s="122">
        <f>(AM62*1000/'1.Input'!$K$63)/8.24</f>
        <v>17273.717861313555</v>
      </c>
      <c r="AN63" s="122">
        <f>(AN62*1000/'1.Input'!$K$63)/8.24</f>
        <v>17273.717861313555</v>
      </c>
      <c r="AO63" s="122">
        <f>(AO62*1000/'1.Input'!$K$63)/8.24</f>
        <v>17273.717861313555</v>
      </c>
      <c r="AT63" s="48"/>
    </row>
    <row r="64" spans="1:46" s="53" customFormat="1" ht="13.5" x14ac:dyDescent="0.25">
      <c r="A64" s="48"/>
      <c r="B64" s="630">
        <f>B62+1</f>
        <v>39</v>
      </c>
      <c r="C64" s="638" t="s">
        <v>567</v>
      </c>
      <c r="D64" s="107"/>
      <c r="E64" s="130" t="s">
        <v>196</v>
      </c>
      <c r="F64" s="109"/>
      <c r="G64" s="73" t="e">
        <f>#REF!+#REF!</f>
        <v>#REF!</v>
      </c>
      <c r="H64" s="73" t="e">
        <f>#REF!+#REF!</f>
        <v>#REF!</v>
      </c>
      <c r="I64" s="73">
        <f>I66*3.6-I62</f>
        <v>2804.6207698872813</v>
      </c>
      <c r="J64" s="73">
        <f t="shared" ref="J64:AO64" si="57">J66*3.6-J62</f>
        <v>2753.7207986716958</v>
      </c>
      <c r="K64" s="73">
        <f t="shared" si="57"/>
        <v>2704.2666665434062</v>
      </c>
      <c r="L64" s="73">
        <f t="shared" si="57"/>
        <v>2567.9002335606756</v>
      </c>
      <c r="M64" s="73">
        <f t="shared" si="57"/>
        <v>2368.0356468176233</v>
      </c>
      <c r="N64" s="73">
        <f t="shared" si="57"/>
        <v>2160.6282841371331</v>
      </c>
      <c r="O64" s="73">
        <f t="shared" si="57"/>
        <v>2138.1611735264751</v>
      </c>
      <c r="P64" s="73">
        <f t="shared" si="57"/>
        <v>2116.0716453940013</v>
      </c>
      <c r="Q64" s="73">
        <f t="shared" si="57"/>
        <v>2094.3529287499841</v>
      </c>
      <c r="R64" s="73">
        <f t="shared" si="57"/>
        <v>2072.9983758679591</v>
      </c>
      <c r="S64" s="73">
        <f t="shared" si="57"/>
        <v>2058.8675442899284</v>
      </c>
      <c r="T64" s="73">
        <f t="shared" si="57"/>
        <v>2044.9677853667561</v>
      </c>
      <c r="U64" s="73">
        <f t="shared" si="57"/>
        <v>2031.2949105481582</v>
      </c>
      <c r="V64" s="73">
        <f t="shared" si="57"/>
        <v>2017.8448089828364</v>
      </c>
      <c r="W64" s="73">
        <f t="shared" si="57"/>
        <v>2004.6134460702094</v>
      </c>
      <c r="X64" s="73">
        <f t="shared" si="57"/>
        <v>1991.5968620391575</v>
      </c>
      <c r="Y64" s="73">
        <f t="shared" si="57"/>
        <v>1978.7911705532854</v>
      </c>
      <c r="Z64" s="73">
        <f t="shared" si="57"/>
        <v>1966.1925573422129</v>
      </c>
      <c r="AA64" s="73">
        <f t="shared" si="57"/>
        <v>1953.7972788583918</v>
      </c>
      <c r="AB64" s="73">
        <f t="shared" si="57"/>
        <v>1941.6016609589958</v>
      </c>
      <c r="AC64" s="73">
        <f t="shared" si="57"/>
        <v>1929.6020976123948</v>
      </c>
      <c r="AD64" s="73">
        <f t="shared" si="57"/>
        <v>1927.1787766854457</v>
      </c>
      <c r="AE64" s="73">
        <f t="shared" si="57"/>
        <v>1924.8213148266434</v>
      </c>
      <c r="AF64" s="73">
        <f t="shared" si="57"/>
        <v>1922.5292615746023</v>
      </c>
      <c r="AG64" s="73">
        <f t="shared" si="57"/>
        <v>1920.3021720131953</v>
      </c>
      <c r="AH64" s="73">
        <f t="shared" si="57"/>
        <v>1918.1396067213057</v>
      </c>
      <c r="AI64" s="73">
        <f t="shared" si="57"/>
        <v>1916.0411317231089</v>
      </c>
      <c r="AJ64" s="73">
        <f t="shared" si="57"/>
        <v>1914.0063184388721</v>
      </c>
      <c r="AK64" s="73">
        <f t="shared" si="57"/>
        <v>1912.0347436362747</v>
      </c>
      <c r="AL64" s="73">
        <f t="shared" si="57"/>
        <v>1910.1259893822455</v>
      </c>
      <c r="AM64" s="73">
        <f t="shared" si="57"/>
        <v>1908.2796429952998</v>
      </c>
      <c r="AN64" s="73">
        <f t="shared" si="57"/>
        <v>1899.0768963858825</v>
      </c>
      <c r="AO64" s="73">
        <f t="shared" si="57"/>
        <v>1889.954028502337</v>
      </c>
      <c r="AT64" s="48"/>
    </row>
    <row r="65" spans="1:46" s="53" customFormat="1" ht="13.5" x14ac:dyDescent="0.25">
      <c r="A65" s="48"/>
      <c r="B65" s="630"/>
      <c r="C65" s="638"/>
      <c r="D65" s="107"/>
      <c r="E65" s="130" t="s">
        <v>198</v>
      </c>
      <c r="F65" s="109"/>
      <c r="G65" s="73" t="e">
        <f>#REF!+#REF!</f>
        <v>#REF!</v>
      </c>
      <c r="H65" s="73" t="e">
        <f>#REF!+#REF!</f>
        <v>#REF!</v>
      </c>
      <c r="I65" s="73">
        <f>I64/'2.BilantNOPRO'!$I$68</f>
        <v>176331.6308348047</v>
      </c>
      <c r="J65" s="73">
        <f>J64/'2.BilantNOPRO'!$I$68</f>
        <v>173131.45666856633</v>
      </c>
      <c r="K65" s="73">
        <f>K64/'2.BilantNOPRO'!$I$68</f>
        <v>170022.18504677355</v>
      </c>
      <c r="L65" s="73">
        <f>L64/'2.BilantNOPRO'!$I$68</f>
        <v>161448.57831279203</v>
      </c>
      <c r="M65" s="73">
        <f>M64/'2.BilantNOPRO'!$I$68</f>
        <v>148882.72666364265</v>
      </c>
      <c r="N65" s="73">
        <f>N64/'2.BilantNOPRO'!$I$68</f>
        <v>135842.64691337163</v>
      </c>
      <c r="O65" s="73">
        <f>O64/'2.BilantNOPRO'!$I$68</f>
        <v>134430.09862996059</v>
      </c>
      <c r="P65" s="73">
        <f>P64/'2.BilantNOPRO'!$I$68</f>
        <v>133041.28964666015</v>
      </c>
      <c r="Q65" s="73">
        <f>Q64/'2.BilantNOPRO'!$I$68</f>
        <v>131675.79425897804</v>
      </c>
      <c r="R65" s="73">
        <f>R64/'2.BilantNOPRO'!$I$68</f>
        <v>130333.19451220839</v>
      </c>
      <c r="S65" s="73">
        <f>S64/'2.BilantNOPRO'!$I$68</f>
        <v>129444.76331895788</v>
      </c>
      <c r="T65" s="73">
        <f>T64/'2.BilantNOPRO'!$I$68</f>
        <v>128570.86008560483</v>
      </c>
      <c r="U65" s="73">
        <f>U64/'2.BilantNOPRO'!$I$68</f>
        <v>127711.22147034193</v>
      </c>
      <c r="V65" s="73">
        <f>V64/'2.BilantNOPRO'!$I$68</f>
        <v>126865.58901643899</v>
      </c>
      <c r="W65" s="73">
        <f>W64/'2.BilantNOPRO'!$I$68</f>
        <v>126033.70906118769</v>
      </c>
      <c r="X65" s="73">
        <f>X64/'2.BilantNOPRO'!$I$68</f>
        <v>125215.33264654469</v>
      </c>
      <c r="Y65" s="73">
        <f>Y64/'2.BilantNOPRO'!$I$68</f>
        <v>124410.21543144186</v>
      </c>
      <c r="Z65" s="73">
        <f>Z64/'2.BilantNOPRO'!$I$68</f>
        <v>123618.1176057331</v>
      </c>
      <c r="AA65" s="73">
        <f>AA64/'2.BilantNOPRO'!$I$68</f>
        <v>122838.80380574595</v>
      </c>
      <c r="AB65" s="73">
        <f>AB64/'2.BilantNOPRO'!$I$68</f>
        <v>122072.04303140959</v>
      </c>
      <c r="AC65" s="73">
        <f>AC64/'2.BilantNOPRO'!$I$68</f>
        <v>121317.60856492849</v>
      </c>
      <c r="AD65" s="73">
        <f>AD64/'2.BilantNOPRO'!$I$68</f>
        <v>121165.24995171669</v>
      </c>
      <c r="AE65" s="73">
        <f>AE64/'2.BilantNOPRO'!$I$68</f>
        <v>121017.03201842007</v>
      </c>
      <c r="AF65" s="73">
        <f>AF64/'2.BilantNOPRO'!$I$68</f>
        <v>120872.92644370849</v>
      </c>
      <c r="AG65" s="73">
        <f>AG64/'2.BilantNOPRO'!$I$68</f>
        <v>120732.90525489235</v>
      </c>
      <c r="AH65" s="73">
        <f>AH64/'2.BilantNOPRO'!$I$68</f>
        <v>120596.94082476337</v>
      </c>
      <c r="AI65" s="73">
        <f>AI64/'2.BilantNOPRO'!$I$68</f>
        <v>120465.00586846874</v>
      </c>
      <c r="AJ65" s="73">
        <f>AJ64/'2.BilantNOPRO'!$I$68</f>
        <v>120337.07344041778</v>
      </c>
      <c r="AK65" s="73">
        <f>AK64/'2.BilantNOPRO'!$I$68</f>
        <v>120213.11693122143</v>
      </c>
      <c r="AL65" s="73">
        <f>AL64/'2.BilantNOPRO'!$I$68</f>
        <v>120093.11006466408</v>
      </c>
      <c r="AM65" s="73">
        <f>AM64/'2.BilantNOPRO'!$I$68</f>
        <v>119977.02689470697</v>
      </c>
      <c r="AN65" s="73">
        <f>AN64/'2.BilantNOPRO'!$I$68</f>
        <v>119398.43340526945</v>
      </c>
      <c r="AO65" s="73">
        <f>AO64/'2.BilantNOPRO'!$I$68</f>
        <v>118824.86203723715</v>
      </c>
      <c r="AT65" s="48"/>
    </row>
    <row r="66" spans="1:46" s="53" customFormat="1" ht="13.5" x14ac:dyDescent="0.25">
      <c r="A66" s="48"/>
      <c r="B66" s="630"/>
      <c r="C66" s="638"/>
      <c r="D66" s="54"/>
      <c r="E66" s="130" t="s">
        <v>192</v>
      </c>
      <c r="F66" s="126"/>
      <c r="G66" s="116"/>
      <c r="H66" s="116"/>
      <c r="I66" s="73">
        <f>I61*'2.BilantNOPRO'!$I$67</f>
        <v>949.06132496868918</v>
      </c>
      <c r="J66" s="73">
        <f>J61*'2.BilantNOPRO'!$I$67</f>
        <v>934.92244407547105</v>
      </c>
      <c r="K66" s="73">
        <f>K61*'2.BilantNOPRO'!$I$67</f>
        <v>921.18518515094615</v>
      </c>
      <c r="L66" s="73">
        <f>L61*'2.BilantNOPRO'!$I$67</f>
        <v>882.32506487796547</v>
      </c>
      <c r="M66" s="73">
        <f>M61*'2.BilantNOPRO'!$I$67</f>
        <v>825.10990189378424</v>
      </c>
      <c r="N66" s="73">
        <f>N61*'2.BilantNOPRO'!$I$67</f>
        <v>765.71063448253688</v>
      </c>
      <c r="O66" s="73">
        <f>O61*'2.BilantNOPRO'!$I$67</f>
        <v>759.46977042402079</v>
      </c>
      <c r="P66" s="73">
        <f>P61*'2.BilantNOPRO'!$I$67</f>
        <v>753.33379038722262</v>
      </c>
      <c r="Q66" s="73">
        <f>Q61*'2.BilantNOPRO'!$I$67</f>
        <v>747.30081354166214</v>
      </c>
      <c r="R66" s="73">
        <f>R61*'2.BilantNOPRO'!$I$67</f>
        <v>741.36899329665539</v>
      </c>
      <c r="S66" s="73">
        <f>S61*'2.BilantNOPRO'!$I$67</f>
        <v>737.44376230275793</v>
      </c>
      <c r="T66" s="73">
        <f>T61*'2.BilantNOPRO'!$I$67</f>
        <v>733.58271815743228</v>
      </c>
      <c r="U66" s="73">
        <f>U61*'2.BilantNOPRO'!$I$67</f>
        <v>729.78469737448836</v>
      </c>
      <c r="V66" s="73">
        <f>V61*'2.BilantNOPRO'!$I$67</f>
        <v>726.04855805078785</v>
      </c>
      <c r="W66" s="73">
        <f>W61*'2.BilantNOPRO'!$I$67</f>
        <v>722.37317946394705</v>
      </c>
      <c r="X66" s="73">
        <f>X61*'2.BilantNOPRO'!$I$67</f>
        <v>718.75746167754369</v>
      </c>
      <c r="Y66" s="73">
        <f>Y61*'2.BilantNOPRO'!$I$67</f>
        <v>715.20032515369041</v>
      </c>
      <c r="Z66" s="73">
        <f>Z61*'2.BilantNOPRO'!$I$67</f>
        <v>711.70071037283697</v>
      </c>
      <c r="AA66" s="73">
        <f>AA61*'2.BilantNOPRO'!$I$67</f>
        <v>708.25757746066438</v>
      </c>
      <c r="AB66" s="73">
        <f>AB61*'2.BilantNOPRO'!$I$67</f>
        <v>704.86990582194323</v>
      </c>
      <c r="AC66" s="73">
        <f>AC61*'2.BilantNOPRO'!$I$67</f>
        <v>701.53669378122083</v>
      </c>
      <c r="AD66" s="73">
        <f>AD61*'2.BilantNOPRO'!$I$67</f>
        <v>700.86354907929046</v>
      </c>
      <c r="AE66" s="73">
        <f>AE61*'2.BilantNOPRO'!$I$67</f>
        <v>700.20869856295656</v>
      </c>
      <c r="AF66" s="73">
        <f>AF61*'2.BilantNOPRO'!$I$67</f>
        <v>699.57201710405616</v>
      </c>
      <c r="AG66" s="73">
        <f>AG61*'2.BilantNOPRO'!$I$67</f>
        <v>698.95338111477645</v>
      </c>
      <c r="AH66" s="73">
        <f>AH61*'2.BilantNOPRO'!$I$67</f>
        <v>698.35266853369603</v>
      </c>
      <c r="AI66" s="73">
        <f>AI61*'2.BilantNOPRO'!$I$67</f>
        <v>697.76975881197473</v>
      </c>
      <c r="AJ66" s="73">
        <f>AJ61*'2.BilantNOPRO'!$I$67</f>
        <v>697.20453289968668</v>
      </c>
      <c r="AK66" s="73">
        <f>AK61*'2.BilantNOPRO'!$I$67</f>
        <v>696.65687323229849</v>
      </c>
      <c r="AL66" s="73">
        <f>AL61*'2.BilantNOPRO'!$I$67</f>
        <v>696.1266637172904</v>
      </c>
      <c r="AM66" s="73">
        <f>AM61*'2.BilantNOPRO'!$I$67</f>
        <v>695.61378972091666</v>
      </c>
      <c r="AN66" s="73">
        <f>AN61*'2.BilantNOPRO'!$I$67</f>
        <v>693.05747121830075</v>
      </c>
      <c r="AO66" s="73">
        <f>AO61*'2.BilantNOPRO'!$I$67</f>
        <v>690.5233412506492</v>
      </c>
      <c r="AT66" s="48"/>
    </row>
    <row r="67" spans="1:46" s="53" customFormat="1" ht="14.25" thickBot="1" x14ac:dyDescent="0.3">
      <c r="A67" s="48"/>
      <c r="B67" s="54"/>
      <c r="C67" s="124"/>
      <c r="D67" s="54"/>
      <c r="E67" s="125"/>
      <c r="F67" s="126"/>
      <c r="G67" s="117"/>
      <c r="H67" s="116"/>
      <c r="I67" s="117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T67" s="48"/>
    </row>
    <row r="68" spans="1:46" s="53" customFormat="1" ht="15" x14ac:dyDescent="0.25">
      <c r="A68" s="48"/>
      <c r="B68" s="107"/>
      <c r="C68" s="106" t="s">
        <v>202</v>
      </c>
      <c r="D68" s="132"/>
      <c r="E68" s="127"/>
      <c r="F68" s="126"/>
      <c r="G68" s="129"/>
      <c r="H68" s="128"/>
      <c r="I68" s="129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T68" s="48"/>
    </row>
    <row r="69" spans="1:46" s="53" customFormat="1" ht="15.75" customHeight="1" x14ac:dyDescent="0.25">
      <c r="A69" s="48"/>
      <c r="B69" s="107">
        <f>B64+1</f>
        <v>40</v>
      </c>
      <c r="C69" s="111" t="s">
        <v>201</v>
      </c>
      <c r="D69" s="109"/>
      <c r="E69" s="130" t="s">
        <v>188</v>
      </c>
      <c r="F69" s="109"/>
      <c r="G69" s="73">
        <f>622/'1.Input'!K61*'1.Input'!K63/1000</f>
        <v>2.2391999999999999</v>
      </c>
      <c r="H69" s="60">
        <f>G69</f>
        <v>2.2391999999999999</v>
      </c>
      <c r="I69" s="60">
        <f>'2.BilantNOPRO'!I70</f>
        <v>2.2000000000000002</v>
      </c>
      <c r="J69" s="60">
        <f>'2.BilantNOPRO'!J70</f>
        <v>2.2000000000000002</v>
      </c>
      <c r="K69" s="60">
        <f>'2.BilantNOPRO'!K70</f>
        <v>2.2000000000000002</v>
      </c>
      <c r="L69" s="60">
        <f>'2.BilantNOPRO'!L70</f>
        <v>2.2000000000000002</v>
      </c>
      <c r="M69" s="60">
        <f>'2.BilantNOPRO'!M70</f>
        <v>2.2000000000000002</v>
      </c>
      <c r="N69" s="60">
        <f>'2.BilantNOPRO'!N70</f>
        <v>2.2000000000000002</v>
      </c>
      <c r="O69" s="60">
        <f>'2.BilantNOPRO'!O70</f>
        <v>2.2000000000000002</v>
      </c>
      <c r="P69" s="60">
        <f>'2.BilantNOPRO'!P70</f>
        <v>2.2000000000000002</v>
      </c>
      <c r="Q69" s="60">
        <f>'2.BilantNOPRO'!Q70</f>
        <v>2.2000000000000002</v>
      </c>
      <c r="R69" s="60">
        <f>'2.BilantNOPRO'!R70</f>
        <v>2.2000000000000002</v>
      </c>
      <c r="S69" s="60">
        <f>'2.BilantNOPRO'!S70</f>
        <v>2.2000000000000002</v>
      </c>
      <c r="T69" s="60">
        <f>'2.BilantNOPRO'!T70</f>
        <v>2.2000000000000002</v>
      </c>
      <c r="U69" s="60">
        <f>'2.BilantNOPRO'!U70</f>
        <v>2.2000000000000002</v>
      </c>
      <c r="V69" s="60">
        <f>'2.BilantNOPRO'!V70</f>
        <v>2.2000000000000002</v>
      </c>
      <c r="W69" s="60">
        <f>'2.BilantNOPRO'!W70</f>
        <v>2.2000000000000002</v>
      </c>
      <c r="X69" s="60">
        <f>'2.BilantNOPRO'!X70</f>
        <v>2.2000000000000002</v>
      </c>
      <c r="Y69" s="60">
        <f>'2.BilantNOPRO'!Y70</f>
        <v>2.2000000000000002</v>
      </c>
      <c r="Z69" s="60">
        <f>'2.BilantNOPRO'!Z70</f>
        <v>2.2000000000000002</v>
      </c>
      <c r="AA69" s="60">
        <f>'2.BilantNOPRO'!AA70</f>
        <v>2.2000000000000002</v>
      </c>
      <c r="AB69" s="60">
        <f>'2.BilantNOPRO'!AB70</f>
        <v>2.2000000000000002</v>
      </c>
      <c r="AC69" s="60">
        <f>'2.BilantNOPRO'!AC70</f>
        <v>2.2000000000000002</v>
      </c>
      <c r="AD69" s="60">
        <f>'2.BilantNOPRO'!AD70</f>
        <v>2.2000000000000002</v>
      </c>
      <c r="AE69" s="60">
        <f>'2.BilantNOPRO'!AE70</f>
        <v>2.2000000000000002</v>
      </c>
      <c r="AF69" s="60">
        <f>'2.BilantNOPRO'!AF70</f>
        <v>2.2000000000000002</v>
      </c>
      <c r="AG69" s="60">
        <f>'2.BilantNOPRO'!AG70</f>
        <v>2.2000000000000002</v>
      </c>
      <c r="AH69" s="60">
        <f>'2.BilantNOPRO'!AH70</f>
        <v>2.2000000000000002</v>
      </c>
      <c r="AI69" s="60">
        <f>'2.BilantNOPRO'!AI70</f>
        <v>2.2000000000000002</v>
      </c>
      <c r="AJ69" s="60">
        <f>'2.BilantNOPRO'!AJ70</f>
        <v>2.2000000000000002</v>
      </c>
      <c r="AK69" s="60">
        <f>'2.BilantNOPRO'!AK70</f>
        <v>2.2000000000000002</v>
      </c>
      <c r="AL69" s="60">
        <f>'2.BilantNOPRO'!AL70</f>
        <v>2.2000000000000002</v>
      </c>
      <c r="AM69" s="60">
        <f>'2.BilantNOPRO'!AM70</f>
        <v>2.2000000000000002</v>
      </c>
      <c r="AN69" s="60">
        <f>'2.BilantNOPRO'!AN70</f>
        <v>2.2000000000000002</v>
      </c>
      <c r="AO69" s="60">
        <f>'2.BilantNOPRO'!AO70</f>
        <v>2.2000000000000002</v>
      </c>
      <c r="AT69" s="48"/>
    </row>
    <row r="70" spans="1:46" s="53" customFormat="1" ht="18" customHeight="1" x14ac:dyDescent="0.25">
      <c r="A70" s="48"/>
      <c r="B70" s="107">
        <f t="shared" si="54"/>
        <v>41</v>
      </c>
      <c r="C70" s="111" t="s">
        <v>203</v>
      </c>
      <c r="D70" s="109"/>
      <c r="E70" s="130" t="s">
        <v>188</v>
      </c>
      <c r="F70" s="109"/>
      <c r="G70" s="73">
        <v>0</v>
      </c>
      <c r="H70" s="73">
        <v>0</v>
      </c>
      <c r="I70" s="60">
        <f>'2.BilantNOPRO'!I71</f>
        <v>2.4444444444444446</v>
      </c>
      <c r="J70" s="60">
        <f>'2.BilantNOPRO'!J71</f>
        <v>2.4444444444444446</v>
      </c>
      <c r="K70" s="60">
        <f>'2.BilantNOPRO'!K71</f>
        <v>2.4444444444444446</v>
      </c>
      <c r="L70" s="60">
        <f>'2.BilantNOPRO'!L71</f>
        <v>2.4444444444444446</v>
      </c>
      <c r="M70" s="60">
        <f>'2.BilantNOPRO'!M71</f>
        <v>2.4444444444444446</v>
      </c>
      <c r="N70" s="60">
        <f>'2.BilantNOPRO'!N71</f>
        <v>2.4444444444444446</v>
      </c>
      <c r="O70" s="60">
        <f>'2.BilantNOPRO'!O71</f>
        <v>2.4444444444444446</v>
      </c>
      <c r="P70" s="60">
        <f>'2.BilantNOPRO'!P71</f>
        <v>2.4444444444444446</v>
      </c>
      <c r="Q70" s="60">
        <f>'2.BilantNOPRO'!Q71</f>
        <v>2.4444444444444446</v>
      </c>
      <c r="R70" s="60">
        <f>'2.BilantNOPRO'!R71</f>
        <v>2.4444444444444446</v>
      </c>
      <c r="S70" s="60">
        <f>'2.BilantNOPRO'!S71</f>
        <v>2.4444444444444446</v>
      </c>
      <c r="T70" s="60">
        <f>'2.BilantNOPRO'!T71</f>
        <v>2.4444444444444446</v>
      </c>
      <c r="U70" s="60">
        <f>'2.BilantNOPRO'!U71</f>
        <v>2.4444444444444446</v>
      </c>
      <c r="V70" s="60">
        <f>'2.BilantNOPRO'!V71</f>
        <v>2.4444444444444446</v>
      </c>
      <c r="W70" s="60">
        <f>'2.BilantNOPRO'!W71</f>
        <v>2.4444444444444446</v>
      </c>
      <c r="X70" s="60">
        <f>'2.BilantNOPRO'!X71</f>
        <v>2.4444444444444446</v>
      </c>
      <c r="Y70" s="60">
        <f>'2.BilantNOPRO'!Y71</f>
        <v>2.4444444444444446</v>
      </c>
      <c r="Z70" s="60">
        <f>'2.BilantNOPRO'!Z71</f>
        <v>2.4444444444444446</v>
      </c>
      <c r="AA70" s="60">
        <f>'2.BilantNOPRO'!AA71</f>
        <v>2.4444444444444446</v>
      </c>
      <c r="AB70" s="60">
        <f>'2.BilantNOPRO'!AB71</f>
        <v>2.4444444444444446</v>
      </c>
      <c r="AC70" s="60">
        <f>'2.BilantNOPRO'!AC71</f>
        <v>2.4444444444444446</v>
      </c>
      <c r="AD70" s="60">
        <f>'2.BilantNOPRO'!AD71</f>
        <v>2.4444444444444446</v>
      </c>
      <c r="AE70" s="60">
        <f>'2.BilantNOPRO'!AE71</f>
        <v>2.4444444444444446</v>
      </c>
      <c r="AF70" s="60">
        <f>'2.BilantNOPRO'!AF71</f>
        <v>2.4444444444444446</v>
      </c>
      <c r="AG70" s="60">
        <f>'2.BilantNOPRO'!AG71</f>
        <v>2.4444444444444446</v>
      </c>
      <c r="AH70" s="60">
        <f>'2.BilantNOPRO'!AH71</f>
        <v>2.4444444444444446</v>
      </c>
      <c r="AI70" s="60">
        <f>'2.BilantNOPRO'!AI71</f>
        <v>2.4444444444444446</v>
      </c>
      <c r="AJ70" s="60">
        <f>'2.BilantNOPRO'!AJ71</f>
        <v>2.4444444444444446</v>
      </c>
      <c r="AK70" s="60">
        <f>'2.BilantNOPRO'!AK71</f>
        <v>2.4444444444444446</v>
      </c>
      <c r="AL70" s="60">
        <f>'2.BilantNOPRO'!AL71</f>
        <v>2.4444444444444446</v>
      </c>
      <c r="AM70" s="60">
        <f>'2.BilantNOPRO'!AM71</f>
        <v>2.4444444444444446</v>
      </c>
      <c r="AN70" s="60">
        <f>'2.BilantNOPRO'!AN71</f>
        <v>2.4444444444444446</v>
      </c>
      <c r="AO70" s="60">
        <f>'2.BilantNOPRO'!AO71</f>
        <v>2.4444444444444446</v>
      </c>
      <c r="AT70" s="48"/>
    </row>
    <row r="71" spans="1:46" s="53" customFormat="1" ht="14.25" customHeight="1" x14ac:dyDescent="0.25">
      <c r="A71" s="48"/>
      <c r="B71" s="629">
        <f>B70+1</f>
        <v>42</v>
      </c>
      <c r="C71" s="636" t="s">
        <v>216</v>
      </c>
      <c r="D71" s="131"/>
      <c r="E71" s="130" t="s">
        <v>188</v>
      </c>
      <c r="F71" s="109"/>
      <c r="G71" s="73">
        <f t="shared" ref="G71:AO71" si="58">G70-G73</f>
        <v>0</v>
      </c>
      <c r="H71" s="73">
        <f t="shared" si="58"/>
        <v>0</v>
      </c>
      <c r="I71" s="86">
        <f t="shared" si="58"/>
        <v>2.4444444444444446</v>
      </c>
      <c r="J71" s="73">
        <f t="shared" si="58"/>
        <v>2.4444444444444446</v>
      </c>
      <c r="K71" s="73">
        <f t="shared" si="58"/>
        <v>2.4444444444444446</v>
      </c>
      <c r="L71" s="73">
        <f t="shared" si="58"/>
        <v>2.4444444444444446</v>
      </c>
      <c r="M71" s="73">
        <f t="shared" si="58"/>
        <v>2.4444444444444446</v>
      </c>
      <c r="N71" s="73">
        <f t="shared" si="58"/>
        <v>2.4444444444444446</v>
      </c>
      <c r="O71" s="73">
        <f t="shared" si="58"/>
        <v>2.4444444444444446</v>
      </c>
      <c r="P71" s="73">
        <f t="shared" si="58"/>
        <v>2.4444444444444446</v>
      </c>
      <c r="Q71" s="73">
        <f t="shared" si="58"/>
        <v>2.4444444444444446</v>
      </c>
      <c r="R71" s="73">
        <f t="shared" si="58"/>
        <v>2.4444444444444446</v>
      </c>
      <c r="S71" s="73">
        <f t="shared" si="58"/>
        <v>2.4444444444444446</v>
      </c>
      <c r="T71" s="73">
        <f t="shared" si="58"/>
        <v>2.4444444444444446</v>
      </c>
      <c r="U71" s="73">
        <f t="shared" si="58"/>
        <v>2.4444444444444446</v>
      </c>
      <c r="V71" s="73">
        <f t="shared" si="58"/>
        <v>2.4444444444444446</v>
      </c>
      <c r="W71" s="73">
        <f t="shared" si="58"/>
        <v>2.4444444444444446</v>
      </c>
      <c r="X71" s="73">
        <f t="shared" si="58"/>
        <v>2.4444444444444446</v>
      </c>
      <c r="Y71" s="73">
        <f t="shared" si="58"/>
        <v>2.4444444444444446</v>
      </c>
      <c r="Z71" s="73">
        <f t="shared" si="58"/>
        <v>2.4444444444444446</v>
      </c>
      <c r="AA71" s="73">
        <f t="shared" si="58"/>
        <v>2.4444444444444446</v>
      </c>
      <c r="AB71" s="73">
        <f t="shared" si="58"/>
        <v>2.4444444444444446</v>
      </c>
      <c r="AC71" s="73">
        <f t="shared" si="58"/>
        <v>2.4444444444444446</v>
      </c>
      <c r="AD71" s="73">
        <f t="shared" si="58"/>
        <v>2.4444444444444446</v>
      </c>
      <c r="AE71" s="73">
        <f t="shared" si="58"/>
        <v>2.4444444444444446</v>
      </c>
      <c r="AF71" s="73">
        <f t="shared" si="58"/>
        <v>2.4444444444444446</v>
      </c>
      <c r="AG71" s="73">
        <f t="shared" si="58"/>
        <v>2.4444444444444446</v>
      </c>
      <c r="AH71" s="73">
        <f t="shared" si="58"/>
        <v>2.4444444444444446</v>
      </c>
      <c r="AI71" s="73">
        <f t="shared" si="58"/>
        <v>2.4444444444444446</v>
      </c>
      <c r="AJ71" s="73">
        <f t="shared" si="58"/>
        <v>2.4444444444444446</v>
      </c>
      <c r="AK71" s="73">
        <f t="shared" si="58"/>
        <v>2.4444444444444446</v>
      </c>
      <c r="AL71" s="73">
        <f t="shared" si="58"/>
        <v>2.4444444444444446</v>
      </c>
      <c r="AM71" s="73">
        <f t="shared" si="58"/>
        <v>2.4444444444444446</v>
      </c>
      <c r="AN71" s="73">
        <f t="shared" si="58"/>
        <v>2.4444444444444446</v>
      </c>
      <c r="AO71" s="73">
        <f t="shared" si="58"/>
        <v>2.4444444444444446</v>
      </c>
      <c r="AT71" s="48"/>
    </row>
    <row r="72" spans="1:46" s="53" customFormat="1" ht="13.5" x14ac:dyDescent="0.25">
      <c r="A72" s="48"/>
      <c r="B72" s="629"/>
      <c r="C72" s="637"/>
      <c r="D72" s="109"/>
      <c r="E72" s="130" t="s">
        <v>197</v>
      </c>
      <c r="F72" s="109"/>
      <c r="G72" s="73">
        <f>G71*1000/4.1868/8.5</f>
        <v>0</v>
      </c>
      <c r="H72" s="73">
        <f t="shared" ref="H72" si="59">H71*1000/4.1868/8.5</f>
        <v>0</v>
      </c>
      <c r="I72" s="86">
        <f>I71*1000/'1.Input'!$K$63/8.24</f>
        <v>70.855039452601289</v>
      </c>
      <c r="J72" s="86">
        <f>J71*1000/'1.Input'!$K$63/8.24</f>
        <v>70.855039452601289</v>
      </c>
      <c r="K72" s="86">
        <f>K71*1000/'1.Input'!$K$63/8.24</f>
        <v>70.855039452601289</v>
      </c>
      <c r="L72" s="86">
        <f>L71*1000/'1.Input'!$K$63/8.24</f>
        <v>70.855039452601289</v>
      </c>
      <c r="M72" s="86">
        <f>M71*1000/'1.Input'!$K$63/8.24</f>
        <v>70.855039452601289</v>
      </c>
      <c r="N72" s="86">
        <f>N71*1000/'1.Input'!$K$63/8.24</f>
        <v>70.855039452601289</v>
      </c>
      <c r="O72" s="86">
        <f>O71*1000/'1.Input'!$K$63/8.24</f>
        <v>70.855039452601289</v>
      </c>
      <c r="P72" s="86">
        <f>P71*1000/'1.Input'!$K$63/8.24</f>
        <v>70.855039452601289</v>
      </c>
      <c r="Q72" s="86">
        <f>Q71*1000/'1.Input'!$K$63/8.24</f>
        <v>70.855039452601289</v>
      </c>
      <c r="R72" s="86">
        <f>R71*1000/'1.Input'!$K$63/8.24</f>
        <v>70.855039452601289</v>
      </c>
      <c r="S72" s="86">
        <f>S71*1000/'1.Input'!$K$63/8.24</f>
        <v>70.855039452601289</v>
      </c>
      <c r="T72" s="86">
        <f>T71*1000/'1.Input'!$K$63/8.24</f>
        <v>70.855039452601289</v>
      </c>
      <c r="U72" s="86">
        <f>U71*1000/'1.Input'!$K$63/8.24</f>
        <v>70.855039452601289</v>
      </c>
      <c r="V72" s="86">
        <f>V71*1000/'1.Input'!$K$63/8.24</f>
        <v>70.855039452601289</v>
      </c>
      <c r="W72" s="86">
        <f>W71*1000/'1.Input'!$K$63/8.24</f>
        <v>70.855039452601289</v>
      </c>
      <c r="X72" s="86">
        <f>X71*1000/'1.Input'!$K$63/8.24</f>
        <v>70.855039452601289</v>
      </c>
      <c r="Y72" s="86">
        <f>Y71*1000/'1.Input'!$K$63/8.24</f>
        <v>70.855039452601289</v>
      </c>
      <c r="Z72" s="86">
        <f>Z71*1000/'1.Input'!$K$63/8.24</f>
        <v>70.855039452601289</v>
      </c>
      <c r="AA72" s="86">
        <f>AA71*1000/'1.Input'!$K$63/8.24</f>
        <v>70.855039452601289</v>
      </c>
      <c r="AB72" s="86">
        <f>AB71*1000/'1.Input'!$K$63/8.24</f>
        <v>70.855039452601289</v>
      </c>
      <c r="AC72" s="86">
        <f>AC71*1000/'1.Input'!$K$63/8.24</f>
        <v>70.855039452601289</v>
      </c>
      <c r="AD72" s="86">
        <f>AD71*1000/'1.Input'!$K$63/8.24</f>
        <v>70.855039452601289</v>
      </c>
      <c r="AE72" s="86">
        <f>AE71*1000/'1.Input'!$K$63/8.24</f>
        <v>70.855039452601289</v>
      </c>
      <c r="AF72" s="86">
        <f>AF71*1000/'1.Input'!$K$63/8.24</f>
        <v>70.855039452601289</v>
      </c>
      <c r="AG72" s="86">
        <f>AG71*1000/'1.Input'!$K$63/8.24</f>
        <v>70.855039452601289</v>
      </c>
      <c r="AH72" s="86">
        <f>AH71*1000/'1.Input'!$K$63/8.24</f>
        <v>70.855039452601289</v>
      </c>
      <c r="AI72" s="86">
        <f>AI71*1000/'1.Input'!$K$63/8.24</f>
        <v>70.855039452601289</v>
      </c>
      <c r="AJ72" s="86">
        <f>AJ71*1000/'1.Input'!$K$63/8.24</f>
        <v>70.855039452601289</v>
      </c>
      <c r="AK72" s="86">
        <f>AK71*1000/'1.Input'!$K$63/8.24</f>
        <v>70.855039452601289</v>
      </c>
      <c r="AL72" s="86">
        <f>AL71*1000/'1.Input'!$K$63/8.24</f>
        <v>70.855039452601289</v>
      </c>
      <c r="AM72" s="86">
        <f>AM71*1000/'1.Input'!$K$63/8.24</f>
        <v>70.855039452601289</v>
      </c>
      <c r="AN72" s="86">
        <f>AN71*1000/'1.Input'!$K$63/8.24</f>
        <v>70.855039452601289</v>
      </c>
      <c r="AO72" s="86">
        <f>AO71*1000/'1.Input'!$K$63/8.24</f>
        <v>70.855039452601289</v>
      </c>
      <c r="AT72" s="48"/>
    </row>
    <row r="73" spans="1:46" s="53" customFormat="1" ht="17.25" customHeight="1" x14ac:dyDescent="0.25">
      <c r="A73" s="48"/>
      <c r="B73" s="629">
        <f>B71+1</f>
        <v>43</v>
      </c>
      <c r="C73" s="636" t="s">
        <v>569</v>
      </c>
      <c r="D73" s="131"/>
      <c r="E73" s="130" t="s">
        <v>196</v>
      </c>
      <c r="F73" s="109"/>
      <c r="G73" s="73">
        <v>0</v>
      </c>
      <c r="H73" s="73">
        <v>0</v>
      </c>
      <c r="I73" s="86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73">
        <v>0</v>
      </c>
      <c r="AD73" s="73">
        <v>0</v>
      </c>
      <c r="AE73" s="73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v>0</v>
      </c>
      <c r="AT73" s="48"/>
    </row>
    <row r="74" spans="1:46" s="53" customFormat="1" ht="13.5" x14ac:dyDescent="0.25">
      <c r="A74" s="48"/>
      <c r="B74" s="629"/>
      <c r="C74" s="637"/>
      <c r="D74" s="109"/>
      <c r="E74" s="130" t="s">
        <v>198</v>
      </c>
      <c r="F74" s="109"/>
      <c r="G74" s="73">
        <v>0</v>
      </c>
      <c r="H74" s="73">
        <v>0</v>
      </c>
      <c r="I74" s="86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3">
        <v>0</v>
      </c>
      <c r="AT74" s="48"/>
    </row>
    <row r="75" spans="1:46" s="53" customFormat="1" ht="13.5" x14ac:dyDescent="0.25">
      <c r="A75" s="48"/>
      <c r="B75" s="54"/>
      <c r="C75" s="126"/>
      <c r="D75" s="126"/>
      <c r="E75" s="126"/>
      <c r="F75" s="126"/>
      <c r="G75" s="104"/>
      <c r="H75" s="104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T75" s="48"/>
    </row>
    <row r="76" spans="1:46" s="53" customFormat="1" ht="14.25" thickBot="1" x14ac:dyDescent="0.3">
      <c r="A76" s="48"/>
      <c r="B76" s="48"/>
      <c r="C76" s="48"/>
      <c r="D76" s="48"/>
      <c r="E76" s="48"/>
      <c r="F76" s="48"/>
      <c r="G76" s="48"/>
      <c r="H76" s="48"/>
      <c r="I76" s="5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</row>
    <row r="77" spans="1:46" s="53" customFormat="1" ht="17.25" thickBot="1" x14ac:dyDescent="0.3">
      <c r="A77" s="48"/>
      <c r="B77" s="48"/>
      <c r="C77" s="615" t="s">
        <v>208</v>
      </c>
      <c r="D77" s="616"/>
      <c r="E77" s="616"/>
      <c r="F77" s="616"/>
      <c r="G77" s="616"/>
      <c r="H77" s="617"/>
      <c r="I77" s="5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</row>
    <row r="78" spans="1:46" s="53" customFormat="1" x14ac:dyDescent="0.25">
      <c r="A78" s="48"/>
      <c r="B78" s="54"/>
      <c r="C78" s="133"/>
      <c r="D78" s="133"/>
      <c r="E78" s="133"/>
      <c r="F78" s="133"/>
      <c r="G78" s="133"/>
      <c r="H78" s="133"/>
      <c r="I78" s="134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T78" s="48"/>
    </row>
    <row r="79" spans="1:46" s="53" customFormat="1" ht="27" x14ac:dyDescent="0.25">
      <c r="A79" s="48"/>
      <c r="B79" s="107">
        <f>B73+1</f>
        <v>44</v>
      </c>
      <c r="C79" s="136" t="s">
        <v>204</v>
      </c>
      <c r="D79" s="131"/>
      <c r="E79" s="110" t="s">
        <v>34</v>
      </c>
      <c r="F79" s="88"/>
      <c r="G79" s="62" t="e">
        <f>#REF!*'1.Input'!$K$58</f>
        <v>#REF!</v>
      </c>
      <c r="H79" s="62" t="e">
        <f>#REF!*'1.Input'!$K$58</f>
        <v>#REF!</v>
      </c>
      <c r="I79" s="62">
        <f>I52*'1.Input'!$K$58</f>
        <v>34531.777777777781</v>
      </c>
      <c r="J79" s="62">
        <f>J52*'1.Input'!$K$58</f>
        <v>34531.777777777781</v>
      </c>
      <c r="K79" s="62">
        <f>K52*'1.Input'!$K$58</f>
        <v>34531.777777777781</v>
      </c>
      <c r="L79" s="62">
        <f>L52*'1.Input'!$K$58</f>
        <v>34333.391777777782</v>
      </c>
      <c r="M79" s="62">
        <f>M52*'1.Input'!$K$58</f>
        <v>33990.009777777777</v>
      </c>
      <c r="N79" s="62">
        <f>N52*'1.Input'!$K$58</f>
        <v>33628.643777777783</v>
      </c>
      <c r="O79" s="62">
        <f>O52*'1.Input'!$K$58</f>
        <v>33628.643777777783</v>
      </c>
      <c r="P79" s="62">
        <f>P52*'1.Input'!$K$58</f>
        <v>33628.643777777783</v>
      </c>
      <c r="Q79" s="62">
        <f>Q52*'1.Input'!$K$58</f>
        <v>33628.643777777783</v>
      </c>
      <c r="R79" s="62">
        <f>R52*'1.Input'!$K$58</f>
        <v>33628.643777777783</v>
      </c>
      <c r="S79" s="62">
        <f>S52*'1.Input'!$K$58</f>
        <v>33628.643777777783</v>
      </c>
      <c r="T79" s="62">
        <f>T52*'1.Input'!$K$58</f>
        <v>33628.643777777783</v>
      </c>
      <c r="U79" s="62">
        <f>U52*'1.Input'!$K$58</f>
        <v>33628.643777777783</v>
      </c>
      <c r="V79" s="62">
        <f>V52*'1.Input'!$K$58</f>
        <v>33628.643777777783</v>
      </c>
      <c r="W79" s="62">
        <f>W52*'1.Input'!$K$58</f>
        <v>33628.643777777783</v>
      </c>
      <c r="X79" s="62">
        <f>X52*'1.Input'!$K$58</f>
        <v>33628.643777777783</v>
      </c>
      <c r="Y79" s="62">
        <f>Y52*'1.Input'!$K$58</f>
        <v>33628.643777777783</v>
      </c>
      <c r="Z79" s="62">
        <f>Z52*'1.Input'!$K$58</f>
        <v>33628.643777777783</v>
      </c>
      <c r="AA79" s="62">
        <f>AA52*'1.Input'!$K$58</f>
        <v>33628.643777777783</v>
      </c>
      <c r="AB79" s="62">
        <f>AB52*'1.Input'!$K$58</f>
        <v>33628.643777777783</v>
      </c>
      <c r="AC79" s="62">
        <f>AC52*'1.Input'!$K$58</f>
        <v>33628.643777777783</v>
      </c>
      <c r="AD79" s="62">
        <f>AD52*'1.Input'!$K$58</f>
        <v>33628.643777777783</v>
      </c>
      <c r="AE79" s="62">
        <f>AE52*'1.Input'!$K$58</f>
        <v>33628.643777777783</v>
      </c>
      <c r="AF79" s="62">
        <f>AF52*'1.Input'!$K$58</f>
        <v>33628.643777777783</v>
      </c>
      <c r="AG79" s="62">
        <f>AG52*'1.Input'!$K$58</f>
        <v>33628.643777777783</v>
      </c>
      <c r="AH79" s="62">
        <f>AH52*'1.Input'!$K$58</f>
        <v>33628.643777777783</v>
      </c>
      <c r="AI79" s="62">
        <f>AI52*'1.Input'!$K$58</f>
        <v>33628.643777777783</v>
      </c>
      <c r="AJ79" s="62">
        <f>AJ52*'1.Input'!$K$58</f>
        <v>33628.643777777783</v>
      </c>
      <c r="AK79" s="62">
        <f>AK52*'1.Input'!$K$58</f>
        <v>33628.643777777783</v>
      </c>
      <c r="AL79" s="62">
        <f>AL52*'1.Input'!$K$58</f>
        <v>33628.643777777783</v>
      </c>
      <c r="AM79" s="62">
        <f>AM52*'1.Input'!$K$58</f>
        <v>33628.643777777783</v>
      </c>
      <c r="AN79" s="62">
        <f>AN52*'1.Input'!$K$58</f>
        <v>33628.643777777783</v>
      </c>
      <c r="AO79" s="62">
        <f>AO52*'1.Input'!$K$58</f>
        <v>33628.643777777783</v>
      </c>
      <c r="AT79" s="48"/>
    </row>
    <row r="80" spans="1:46" s="53" customFormat="1" ht="18.75" customHeight="1" x14ac:dyDescent="0.25">
      <c r="A80" s="48"/>
      <c r="B80" s="107">
        <f>B79+1</f>
        <v>45</v>
      </c>
      <c r="C80" s="136" t="s">
        <v>574</v>
      </c>
      <c r="D80" s="131"/>
      <c r="E80" s="110" t="s">
        <v>34</v>
      </c>
      <c r="F80" s="88"/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T80" s="48"/>
    </row>
    <row r="81" spans="1:46" s="80" customFormat="1" ht="21" customHeight="1" x14ac:dyDescent="0.3">
      <c r="A81" s="74"/>
      <c r="B81" s="107">
        <f t="shared" si="54"/>
        <v>46</v>
      </c>
      <c r="C81" s="137" t="s">
        <v>205</v>
      </c>
      <c r="D81" s="138"/>
      <c r="E81" s="110" t="s">
        <v>34</v>
      </c>
      <c r="F81" s="139"/>
      <c r="G81" s="140" t="e">
        <f>G79+#REF!+G80</f>
        <v>#REF!</v>
      </c>
      <c r="H81" s="140" t="e">
        <f>H79+#REF!+H80</f>
        <v>#REF!</v>
      </c>
      <c r="I81" s="141">
        <f>SUM(I79:I80)</f>
        <v>34531.777777777781</v>
      </c>
      <c r="J81" s="141">
        <f t="shared" ref="J81:AO81" si="60">SUM(J79:J80)</f>
        <v>34531.777777777781</v>
      </c>
      <c r="K81" s="141">
        <f t="shared" si="60"/>
        <v>34531.777777777781</v>
      </c>
      <c r="L81" s="141">
        <f t="shared" si="60"/>
        <v>34333.391777777782</v>
      </c>
      <c r="M81" s="141">
        <f t="shared" si="60"/>
        <v>33990.009777777777</v>
      </c>
      <c r="N81" s="141">
        <f t="shared" si="60"/>
        <v>33628.643777777783</v>
      </c>
      <c r="O81" s="141">
        <f t="shared" si="60"/>
        <v>33628.643777777783</v>
      </c>
      <c r="P81" s="141">
        <f t="shared" si="60"/>
        <v>33628.643777777783</v>
      </c>
      <c r="Q81" s="141">
        <f t="shared" si="60"/>
        <v>33628.643777777783</v>
      </c>
      <c r="R81" s="141">
        <f t="shared" si="60"/>
        <v>33628.643777777783</v>
      </c>
      <c r="S81" s="141">
        <f t="shared" si="60"/>
        <v>33628.643777777783</v>
      </c>
      <c r="T81" s="141">
        <f t="shared" si="60"/>
        <v>33628.643777777783</v>
      </c>
      <c r="U81" s="141">
        <f t="shared" si="60"/>
        <v>33628.643777777783</v>
      </c>
      <c r="V81" s="141">
        <f t="shared" si="60"/>
        <v>33628.643777777783</v>
      </c>
      <c r="W81" s="141">
        <f t="shared" si="60"/>
        <v>33628.643777777783</v>
      </c>
      <c r="X81" s="141">
        <f t="shared" si="60"/>
        <v>33628.643777777783</v>
      </c>
      <c r="Y81" s="141">
        <f t="shared" si="60"/>
        <v>33628.643777777783</v>
      </c>
      <c r="Z81" s="141">
        <f t="shared" si="60"/>
        <v>33628.643777777783</v>
      </c>
      <c r="AA81" s="141">
        <f t="shared" si="60"/>
        <v>33628.643777777783</v>
      </c>
      <c r="AB81" s="141">
        <f t="shared" si="60"/>
        <v>33628.643777777783</v>
      </c>
      <c r="AC81" s="141">
        <f t="shared" si="60"/>
        <v>33628.643777777783</v>
      </c>
      <c r="AD81" s="141">
        <f t="shared" si="60"/>
        <v>33628.643777777783</v>
      </c>
      <c r="AE81" s="141">
        <f t="shared" si="60"/>
        <v>33628.643777777783</v>
      </c>
      <c r="AF81" s="141">
        <f t="shared" si="60"/>
        <v>33628.643777777783</v>
      </c>
      <c r="AG81" s="141">
        <f t="shared" si="60"/>
        <v>33628.643777777783</v>
      </c>
      <c r="AH81" s="141">
        <f t="shared" si="60"/>
        <v>33628.643777777783</v>
      </c>
      <c r="AI81" s="141">
        <f t="shared" si="60"/>
        <v>33628.643777777783</v>
      </c>
      <c r="AJ81" s="141">
        <f t="shared" si="60"/>
        <v>33628.643777777783</v>
      </c>
      <c r="AK81" s="141">
        <f t="shared" si="60"/>
        <v>33628.643777777783</v>
      </c>
      <c r="AL81" s="141">
        <f t="shared" si="60"/>
        <v>33628.643777777783</v>
      </c>
      <c r="AM81" s="141">
        <f t="shared" si="60"/>
        <v>33628.643777777783</v>
      </c>
      <c r="AN81" s="141">
        <f t="shared" si="60"/>
        <v>33628.643777777783</v>
      </c>
      <c r="AO81" s="141">
        <f t="shared" si="60"/>
        <v>33628.643777777783</v>
      </c>
      <c r="AT81" s="74"/>
    </row>
    <row r="82" spans="1:46" s="80" customFormat="1" ht="21" customHeight="1" x14ac:dyDescent="0.3">
      <c r="A82" s="74"/>
      <c r="B82" s="107">
        <f t="shared" si="54"/>
        <v>47</v>
      </c>
      <c r="C82" s="137" t="s">
        <v>217</v>
      </c>
      <c r="D82" s="142"/>
      <c r="E82" s="143" t="s">
        <v>121</v>
      </c>
      <c r="F82" s="144"/>
      <c r="G82" s="472">
        <f>'2.BilantNOPRO'!G83</f>
        <v>9815</v>
      </c>
      <c r="H82" s="472">
        <f>'2.BilantNOPRO'!H83</f>
        <v>9054.4</v>
      </c>
      <c r="I82" s="472">
        <f>'2.BilantNOPRO'!I83</f>
        <v>0</v>
      </c>
      <c r="J82" s="472">
        <f>'2.BilantNOPRO'!J83</f>
        <v>0</v>
      </c>
      <c r="K82" s="472">
        <f>'2.BilantNOPRO'!K83</f>
        <v>0</v>
      </c>
      <c r="L82" s="472">
        <f>'2.BilantNOPRO'!L83</f>
        <v>0</v>
      </c>
      <c r="M82" s="472">
        <f>'2.BilantNOPRO'!M83</f>
        <v>0</v>
      </c>
      <c r="N82" s="472">
        <f>'2.BilantNOPRO'!N83</f>
        <v>0</v>
      </c>
      <c r="O82" s="472">
        <f>'2.BilantNOPRO'!O83</f>
        <v>0</v>
      </c>
      <c r="P82" s="472">
        <f>'2.BilantNOPRO'!P83</f>
        <v>0</v>
      </c>
      <c r="Q82" s="472">
        <f>'2.BilantNOPRO'!Q83</f>
        <v>0</v>
      </c>
      <c r="R82" s="472">
        <f>'2.BilantNOPRO'!R83</f>
        <v>0</v>
      </c>
      <c r="S82" s="472">
        <f>'2.BilantNOPRO'!S83</f>
        <v>0</v>
      </c>
      <c r="T82" s="472">
        <f>'2.BilantNOPRO'!T83</f>
        <v>0</v>
      </c>
      <c r="U82" s="472">
        <f>'2.BilantNOPRO'!U83</f>
        <v>0</v>
      </c>
      <c r="V82" s="472">
        <f>'2.BilantNOPRO'!V83</f>
        <v>0</v>
      </c>
      <c r="W82" s="472">
        <f>'2.BilantNOPRO'!W83</f>
        <v>0</v>
      </c>
      <c r="X82" s="472">
        <f>'2.BilantNOPRO'!X83</f>
        <v>0</v>
      </c>
      <c r="Y82" s="472">
        <f>'2.BilantNOPRO'!Y83</f>
        <v>0</v>
      </c>
      <c r="Z82" s="472">
        <f>'2.BilantNOPRO'!Z83</f>
        <v>0</v>
      </c>
      <c r="AA82" s="472">
        <f>'2.BilantNOPRO'!AA83</f>
        <v>0</v>
      </c>
      <c r="AB82" s="472">
        <f>'2.BilantNOPRO'!AB83</f>
        <v>0</v>
      </c>
      <c r="AC82" s="472">
        <f>'2.BilantNOPRO'!AC83</f>
        <v>0</v>
      </c>
      <c r="AD82" s="472">
        <f>'2.BilantNOPRO'!AD83</f>
        <v>0</v>
      </c>
      <c r="AE82" s="472">
        <f>'2.BilantNOPRO'!AE83</f>
        <v>0</v>
      </c>
      <c r="AF82" s="472">
        <f>'2.BilantNOPRO'!AF83</f>
        <v>0</v>
      </c>
      <c r="AG82" s="472">
        <f>'2.BilantNOPRO'!AG83</f>
        <v>0</v>
      </c>
      <c r="AH82" s="472">
        <f>'2.BilantNOPRO'!AH83</f>
        <v>0</v>
      </c>
      <c r="AI82" s="472">
        <f>'2.BilantNOPRO'!AI83</f>
        <v>0</v>
      </c>
      <c r="AJ82" s="472">
        <f>'2.BilantNOPRO'!AJ83</f>
        <v>0</v>
      </c>
      <c r="AK82" s="472">
        <f>'2.BilantNOPRO'!AK83</f>
        <v>0</v>
      </c>
      <c r="AL82" s="472">
        <f>'2.BilantNOPRO'!AL83</f>
        <v>0</v>
      </c>
      <c r="AM82" s="472">
        <f>'2.BilantNOPRO'!AM83</f>
        <v>0</v>
      </c>
      <c r="AN82" s="472">
        <f>'2.BilantNOPRO'!AN83</f>
        <v>0</v>
      </c>
      <c r="AO82" s="472">
        <f>'2.BilantNOPRO'!AO83</f>
        <v>0</v>
      </c>
      <c r="AT82" s="74"/>
    </row>
    <row r="83" spans="1:46" s="80" customFormat="1" ht="21" customHeight="1" x14ac:dyDescent="0.3">
      <c r="A83" s="74"/>
      <c r="B83" s="107">
        <f t="shared" si="54"/>
        <v>48</v>
      </c>
      <c r="C83" s="137" t="s">
        <v>218</v>
      </c>
      <c r="D83" s="142"/>
      <c r="E83" s="143" t="s">
        <v>121</v>
      </c>
      <c r="F83" s="144"/>
      <c r="G83" s="140" t="e">
        <f>G81-G82</f>
        <v>#REF!</v>
      </c>
      <c r="H83" s="140" t="e">
        <f t="shared" ref="H83:AO83" si="61">H81-H82</f>
        <v>#REF!</v>
      </c>
      <c r="I83" s="140">
        <f t="shared" si="61"/>
        <v>34531.777777777781</v>
      </c>
      <c r="J83" s="140">
        <f t="shared" si="61"/>
        <v>34531.777777777781</v>
      </c>
      <c r="K83" s="140">
        <f t="shared" si="61"/>
        <v>34531.777777777781</v>
      </c>
      <c r="L83" s="140">
        <f t="shared" si="61"/>
        <v>34333.391777777782</v>
      </c>
      <c r="M83" s="140">
        <f t="shared" si="61"/>
        <v>33990.009777777777</v>
      </c>
      <c r="N83" s="140">
        <f t="shared" si="61"/>
        <v>33628.643777777783</v>
      </c>
      <c r="O83" s="140">
        <f t="shared" si="61"/>
        <v>33628.643777777783</v>
      </c>
      <c r="P83" s="140">
        <f t="shared" si="61"/>
        <v>33628.643777777783</v>
      </c>
      <c r="Q83" s="140">
        <f t="shared" si="61"/>
        <v>33628.643777777783</v>
      </c>
      <c r="R83" s="140">
        <f t="shared" si="61"/>
        <v>33628.643777777783</v>
      </c>
      <c r="S83" s="140">
        <f t="shared" si="61"/>
        <v>33628.643777777783</v>
      </c>
      <c r="T83" s="140">
        <f t="shared" si="61"/>
        <v>33628.643777777783</v>
      </c>
      <c r="U83" s="140">
        <f t="shared" si="61"/>
        <v>33628.643777777783</v>
      </c>
      <c r="V83" s="140">
        <f t="shared" si="61"/>
        <v>33628.643777777783</v>
      </c>
      <c r="W83" s="140">
        <f t="shared" si="61"/>
        <v>33628.643777777783</v>
      </c>
      <c r="X83" s="140">
        <f t="shared" si="61"/>
        <v>33628.643777777783</v>
      </c>
      <c r="Y83" s="140">
        <f t="shared" si="61"/>
        <v>33628.643777777783</v>
      </c>
      <c r="Z83" s="140">
        <f t="shared" si="61"/>
        <v>33628.643777777783</v>
      </c>
      <c r="AA83" s="140">
        <f t="shared" si="61"/>
        <v>33628.643777777783</v>
      </c>
      <c r="AB83" s="140">
        <f t="shared" si="61"/>
        <v>33628.643777777783</v>
      </c>
      <c r="AC83" s="140">
        <f t="shared" si="61"/>
        <v>33628.643777777783</v>
      </c>
      <c r="AD83" s="140">
        <f t="shared" si="61"/>
        <v>33628.643777777783</v>
      </c>
      <c r="AE83" s="140">
        <f t="shared" si="61"/>
        <v>33628.643777777783</v>
      </c>
      <c r="AF83" s="140">
        <f t="shared" si="61"/>
        <v>33628.643777777783</v>
      </c>
      <c r="AG83" s="140">
        <f t="shared" si="61"/>
        <v>33628.643777777783</v>
      </c>
      <c r="AH83" s="140">
        <f t="shared" si="61"/>
        <v>33628.643777777783</v>
      </c>
      <c r="AI83" s="140">
        <f t="shared" si="61"/>
        <v>33628.643777777783</v>
      </c>
      <c r="AJ83" s="140">
        <f t="shared" si="61"/>
        <v>33628.643777777783</v>
      </c>
      <c r="AK83" s="140">
        <f t="shared" si="61"/>
        <v>33628.643777777783</v>
      </c>
      <c r="AL83" s="140">
        <f t="shared" si="61"/>
        <v>33628.643777777783</v>
      </c>
      <c r="AM83" s="140">
        <f t="shared" si="61"/>
        <v>33628.643777777783</v>
      </c>
      <c r="AN83" s="140">
        <f t="shared" si="61"/>
        <v>33628.643777777783</v>
      </c>
      <c r="AO83" s="140">
        <f t="shared" si="61"/>
        <v>33628.643777777783</v>
      </c>
      <c r="AT83" s="74"/>
    </row>
    <row r="84" spans="1:46" s="53" customFormat="1" ht="13.5" x14ac:dyDescent="0.25">
      <c r="A84" s="48"/>
      <c r="B84" s="54"/>
      <c r="C84" s="145"/>
      <c r="D84" s="54"/>
      <c r="E84" s="145"/>
      <c r="F84" s="54"/>
      <c r="G84" s="104"/>
      <c r="H84" s="104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T84" s="48"/>
    </row>
    <row r="85" spans="1:46" s="53" customFormat="1" ht="18.75" customHeight="1" x14ac:dyDescent="0.25">
      <c r="A85" s="48"/>
      <c r="B85" s="48"/>
      <c r="C85" s="48"/>
      <c r="D85" s="48"/>
      <c r="E85" s="48"/>
      <c r="F85" s="48"/>
      <c r="G85" s="48"/>
      <c r="H85" s="48"/>
      <c r="I85" s="5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46" s="53" customFormat="1" ht="13.5" x14ac:dyDescent="0.25">
      <c r="I86" s="146"/>
    </row>
  </sheetData>
  <mergeCells count="25">
    <mergeCell ref="C52:C54"/>
    <mergeCell ref="B52:B54"/>
    <mergeCell ref="C2:E2"/>
    <mergeCell ref="G2:H2"/>
    <mergeCell ref="J2:AS2"/>
    <mergeCell ref="C3:E3"/>
    <mergeCell ref="C6:H6"/>
    <mergeCell ref="B24:B25"/>
    <mergeCell ref="C24:C25"/>
    <mergeCell ref="B26:B28"/>
    <mergeCell ref="C26:C28"/>
    <mergeCell ref="C37:H37"/>
    <mergeCell ref="B42:B43"/>
    <mergeCell ref="C42:C43"/>
    <mergeCell ref="C64:C66"/>
    <mergeCell ref="B64:B66"/>
    <mergeCell ref="B62:B63"/>
    <mergeCell ref="C62:C63"/>
    <mergeCell ref="B55:B56"/>
    <mergeCell ref="C55:C56"/>
    <mergeCell ref="C77:H77"/>
    <mergeCell ref="B71:B72"/>
    <mergeCell ref="C71:C72"/>
    <mergeCell ref="B73:B74"/>
    <mergeCell ref="C73:C7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E66C-30B8-4641-B89F-3498DBA2DC5C}">
  <dimension ref="A1:K81"/>
  <sheetViews>
    <sheetView topLeftCell="B47" workbookViewId="0">
      <selection activeCell="J58" sqref="J58"/>
    </sheetView>
  </sheetViews>
  <sheetFormatPr defaultColWidth="9.140625" defaultRowHeight="15" x14ac:dyDescent="0.25"/>
  <cols>
    <col min="1" max="1" width="7.28515625" style="9" customWidth="1"/>
    <col min="2" max="2" width="32.28515625" style="9" customWidth="1"/>
    <col min="3" max="3" width="22.7109375" style="9" customWidth="1"/>
    <col min="4" max="4" width="20.42578125" style="9" customWidth="1"/>
    <col min="5" max="5" width="22.5703125" style="9" customWidth="1"/>
    <col min="6" max="6" width="23.28515625" style="9" bestFit="1" customWidth="1"/>
    <col min="7" max="7" width="22.85546875" style="9" bestFit="1" customWidth="1"/>
    <col min="8" max="8" width="17.42578125" style="9" bestFit="1" customWidth="1"/>
    <col min="9" max="9" width="20.42578125" style="9" customWidth="1"/>
    <col min="10" max="10" width="24.140625" style="9" customWidth="1"/>
    <col min="11" max="11" width="14.85546875" style="9" bestFit="1" customWidth="1"/>
    <col min="12" max="16384" width="9.140625" style="9"/>
  </cols>
  <sheetData>
    <row r="1" spans="1:11" x14ac:dyDescent="0.25">
      <c r="A1" s="7"/>
      <c r="B1" s="8"/>
      <c r="C1" s="8"/>
      <c r="D1" s="8"/>
      <c r="E1" s="652"/>
      <c r="F1" s="652"/>
      <c r="G1" s="8"/>
    </row>
    <row r="2" spans="1:11" ht="38.25" customHeight="1" x14ac:dyDescent="0.25">
      <c r="A2" s="653" t="s">
        <v>580</v>
      </c>
      <c r="B2" s="653"/>
      <c r="C2" s="653"/>
      <c r="D2" s="653"/>
      <c r="E2" s="653"/>
      <c r="F2" s="653"/>
      <c r="G2" s="653"/>
      <c r="J2" s="10" t="s">
        <v>221</v>
      </c>
    </row>
    <row r="3" spans="1:11" ht="15" customHeight="1" x14ac:dyDescent="0.25">
      <c r="A3" s="653" t="s">
        <v>222</v>
      </c>
      <c r="B3" s="653" t="s">
        <v>223</v>
      </c>
      <c r="C3" s="654" t="s">
        <v>224</v>
      </c>
      <c r="D3" s="654"/>
      <c r="E3" s="654" t="s">
        <v>76</v>
      </c>
      <c r="F3" s="654" t="s">
        <v>225</v>
      </c>
      <c r="G3" s="654"/>
      <c r="J3" s="10">
        <v>4.9493</v>
      </c>
    </row>
    <row r="4" spans="1:11" x14ac:dyDescent="0.25">
      <c r="A4" s="653"/>
      <c r="B4" s="653"/>
      <c r="C4" s="654"/>
      <c r="D4" s="654"/>
      <c r="E4" s="654"/>
      <c r="F4" s="654"/>
      <c r="G4" s="654"/>
      <c r="J4" s="10" t="s">
        <v>76</v>
      </c>
    </row>
    <row r="5" spans="1:11" x14ac:dyDescent="0.25">
      <c r="A5" s="653"/>
      <c r="B5" s="653"/>
      <c r="C5" s="10" t="s">
        <v>226</v>
      </c>
      <c r="D5" s="10" t="s">
        <v>221</v>
      </c>
      <c r="E5" s="10" t="s">
        <v>226</v>
      </c>
      <c r="F5" s="10" t="s">
        <v>226</v>
      </c>
      <c r="G5" s="10" t="s">
        <v>221</v>
      </c>
      <c r="J5" s="11">
        <v>0.19</v>
      </c>
    </row>
    <row r="6" spans="1:11" ht="15" customHeight="1" x14ac:dyDescent="0.25">
      <c r="A6" s="654" t="s">
        <v>227</v>
      </c>
      <c r="B6" s="655"/>
      <c r="C6" s="655"/>
      <c r="D6" s="655"/>
      <c r="E6" s="655"/>
      <c r="F6" s="655"/>
      <c r="G6" s="655"/>
    </row>
    <row r="7" spans="1:11" ht="15" customHeight="1" x14ac:dyDescent="0.25">
      <c r="A7" s="12" t="s">
        <v>228</v>
      </c>
      <c r="B7" s="13" t="s">
        <v>229</v>
      </c>
      <c r="C7" s="473">
        <v>0</v>
      </c>
      <c r="D7" s="14">
        <f>C7/$J$3</f>
        <v>0</v>
      </c>
      <c r="E7" s="14">
        <f>C7*$J$5</f>
        <v>0</v>
      </c>
      <c r="F7" s="14">
        <f>C7+E7</f>
        <v>0</v>
      </c>
      <c r="G7" s="14">
        <f>F7/$J$3</f>
        <v>0</v>
      </c>
      <c r="H7" s="15"/>
      <c r="I7" s="15"/>
    </row>
    <row r="8" spans="1:11" x14ac:dyDescent="0.25">
      <c r="A8" s="16" t="s">
        <v>230</v>
      </c>
      <c r="B8" s="13" t="s">
        <v>231</v>
      </c>
      <c r="C8" s="473">
        <v>111978.82917634801</v>
      </c>
      <c r="D8" s="14">
        <f t="shared" ref="D8:D14" si="0">C8/$J$3</f>
        <v>22625.185213332796</v>
      </c>
      <c r="E8" s="14">
        <f>C8*$J$5</f>
        <v>21275.97754350612</v>
      </c>
      <c r="F8" s="14">
        <f>C8+E8</f>
        <v>133254.80671985412</v>
      </c>
      <c r="G8" s="14">
        <f t="shared" ref="G8" si="1">F8/$J$3</f>
        <v>26923.970403866027</v>
      </c>
      <c r="H8" s="15"/>
      <c r="I8" s="15"/>
    </row>
    <row r="9" spans="1:11" x14ac:dyDescent="0.25">
      <c r="A9" s="16" t="s">
        <v>232</v>
      </c>
      <c r="B9" s="13" t="s">
        <v>233</v>
      </c>
      <c r="C9" s="473">
        <v>0</v>
      </c>
      <c r="D9" s="14">
        <f t="shared" si="0"/>
        <v>0</v>
      </c>
      <c r="E9" s="14">
        <f>C9*$J$5</f>
        <v>0</v>
      </c>
      <c r="F9" s="14">
        <f>C9+E9</f>
        <v>0</v>
      </c>
      <c r="G9" s="14">
        <f t="shared" ref="G9:G14" si="2">F9/$J$3</f>
        <v>0</v>
      </c>
      <c r="H9" s="15"/>
      <c r="I9" s="15"/>
      <c r="J9" s="35">
        <f>20000*J3</f>
        <v>98986</v>
      </c>
    </row>
    <row r="10" spans="1:11" ht="45" x14ac:dyDescent="0.25">
      <c r="A10" s="16" t="s">
        <v>234</v>
      </c>
      <c r="B10" s="13" t="s">
        <v>235</v>
      </c>
      <c r="C10" s="473">
        <v>162452.84787500001</v>
      </c>
      <c r="D10" s="14">
        <f t="shared" si="0"/>
        <v>32823.398839229791</v>
      </c>
      <c r="E10" s="14">
        <f>C10*$J$5</f>
        <v>30866.041096250003</v>
      </c>
      <c r="F10" s="14">
        <f>C10+E10</f>
        <v>193318.88897125001</v>
      </c>
      <c r="G10" s="14">
        <f t="shared" si="2"/>
        <v>39059.844618683455</v>
      </c>
      <c r="H10" s="15"/>
      <c r="I10" s="15"/>
      <c r="J10" s="17"/>
      <c r="K10" s="18"/>
    </row>
    <row r="11" spans="1:11" ht="30" x14ac:dyDescent="0.25">
      <c r="A11" s="16" t="s">
        <v>236</v>
      </c>
      <c r="B11" s="13" t="s">
        <v>237</v>
      </c>
      <c r="C11" s="14">
        <v>0</v>
      </c>
      <c r="D11" s="14">
        <f t="shared" si="0"/>
        <v>0</v>
      </c>
      <c r="E11" s="14">
        <f>C11*$J$5</f>
        <v>0</v>
      </c>
      <c r="F11" s="14">
        <f>C11+E11</f>
        <v>0</v>
      </c>
      <c r="G11" s="14">
        <f t="shared" si="2"/>
        <v>0</v>
      </c>
      <c r="H11" s="15"/>
      <c r="I11" s="15"/>
      <c r="J11" s="19"/>
    </row>
    <row r="12" spans="1:11" x14ac:dyDescent="0.25">
      <c r="A12" s="649" t="s">
        <v>238</v>
      </c>
      <c r="B12" s="649"/>
      <c r="C12" s="20">
        <f>C7+C8+C10+C11</f>
        <v>274431.67705134803</v>
      </c>
      <c r="D12" s="20">
        <f>D7+D8+D10+D11</f>
        <v>55448.584052562583</v>
      </c>
      <c r="E12" s="20">
        <f t="shared" ref="E12:G12" si="3">E7+E8+E10+E11</f>
        <v>52142.018639756119</v>
      </c>
      <c r="F12" s="20">
        <f t="shared" si="3"/>
        <v>326573.69569110416</v>
      </c>
      <c r="G12" s="20">
        <f t="shared" si="3"/>
        <v>65983.815022549476</v>
      </c>
      <c r="H12" s="15"/>
      <c r="I12" s="15"/>
      <c r="J12" s="21"/>
    </row>
    <row r="13" spans="1:11" x14ac:dyDescent="0.25">
      <c r="A13" s="649" t="s">
        <v>239</v>
      </c>
      <c r="B13" s="649"/>
      <c r="C13" s="649"/>
      <c r="D13" s="649"/>
      <c r="E13" s="649"/>
      <c r="F13" s="649"/>
      <c r="G13" s="649"/>
      <c r="I13" s="21"/>
      <c r="J13" s="21"/>
    </row>
    <row r="14" spans="1:11" ht="45" x14ac:dyDescent="0.25">
      <c r="A14" s="22" t="s">
        <v>240</v>
      </c>
      <c r="B14" s="23" t="s">
        <v>241</v>
      </c>
      <c r="C14" s="24">
        <v>0</v>
      </c>
      <c r="D14" s="24">
        <f t="shared" si="0"/>
        <v>0</v>
      </c>
      <c r="E14" s="24">
        <f>C14*$J$5</f>
        <v>0</v>
      </c>
      <c r="F14" s="24">
        <f>C14+E14</f>
        <v>0</v>
      </c>
      <c r="G14" s="24">
        <f t="shared" si="2"/>
        <v>0</v>
      </c>
      <c r="H14" s="15"/>
      <c r="I14" s="15"/>
    </row>
    <row r="15" spans="1:11" ht="15" customHeight="1" x14ac:dyDescent="0.25">
      <c r="A15" s="656" t="s">
        <v>242</v>
      </c>
      <c r="B15" s="656"/>
      <c r="C15" s="24">
        <f>SUM(C14)</f>
        <v>0</v>
      </c>
      <c r="D15" s="24">
        <f>D14</f>
        <v>0</v>
      </c>
      <c r="E15" s="24">
        <f>E14</f>
        <v>0</v>
      </c>
      <c r="F15" s="24">
        <f>F14</f>
        <v>0</v>
      </c>
      <c r="G15" s="24">
        <f>G14</f>
        <v>0</v>
      </c>
      <c r="H15" s="15"/>
      <c r="I15" s="15"/>
    </row>
    <row r="16" spans="1:11" x14ac:dyDescent="0.25">
      <c r="A16" s="649" t="s">
        <v>243</v>
      </c>
      <c r="B16" s="649"/>
      <c r="C16" s="649"/>
      <c r="D16" s="649"/>
      <c r="E16" s="649"/>
      <c r="F16" s="649"/>
      <c r="G16" s="649"/>
    </row>
    <row r="17" spans="1:11" x14ac:dyDescent="0.25">
      <c r="A17" s="22" t="s">
        <v>244</v>
      </c>
      <c r="B17" s="23" t="s">
        <v>245</v>
      </c>
      <c r="C17" s="24">
        <f>SUM(C18:C20)</f>
        <v>48027.5</v>
      </c>
      <c r="D17" s="24">
        <f>SUM(D18:D20)</f>
        <v>9703.8975208615357</v>
      </c>
      <c r="E17" s="24">
        <f>SUM(E18:E20)</f>
        <v>9125.2250000000004</v>
      </c>
      <c r="F17" s="24">
        <f>SUM(F18:F20)</f>
        <v>57152.724999999999</v>
      </c>
      <c r="G17" s="24">
        <f>SUM(G18:G20)</f>
        <v>11547.638049825227</v>
      </c>
      <c r="H17" s="15"/>
      <c r="I17" s="15"/>
    </row>
    <row r="18" spans="1:11" x14ac:dyDescent="0.25">
      <c r="A18" s="16" t="s">
        <v>246</v>
      </c>
      <c r="B18" s="13" t="s">
        <v>247</v>
      </c>
      <c r="C18" s="473">
        <v>34027.5</v>
      </c>
      <c r="D18" s="14">
        <f t="shared" ref="D18:D71" si="4">C18/$J$3</f>
        <v>6875.214676822985</v>
      </c>
      <c r="E18" s="14">
        <f t="shared" ref="E18:E41" si="5">C18*$J$5</f>
        <v>6465.2250000000004</v>
      </c>
      <c r="F18" s="14">
        <f t="shared" ref="F18:F41" si="6">C18+E18</f>
        <v>40492.724999999999</v>
      </c>
      <c r="G18" s="14">
        <f t="shared" ref="G18:G71" si="7">F18/$J$3</f>
        <v>8181.5054654193518</v>
      </c>
      <c r="H18" s="15"/>
      <c r="I18" s="15"/>
      <c r="J18" s="25"/>
      <c r="K18" s="25"/>
    </row>
    <row r="19" spans="1:11" ht="30" x14ac:dyDescent="0.25">
      <c r="A19" s="16" t="s">
        <v>248</v>
      </c>
      <c r="B19" s="13" t="s">
        <v>249</v>
      </c>
      <c r="C19" s="473">
        <v>3000</v>
      </c>
      <c r="D19" s="14">
        <f t="shared" si="4"/>
        <v>606.14632372254664</v>
      </c>
      <c r="E19" s="14">
        <f t="shared" si="5"/>
        <v>570</v>
      </c>
      <c r="F19" s="14">
        <f t="shared" si="6"/>
        <v>3570</v>
      </c>
      <c r="G19" s="14">
        <f t="shared" si="7"/>
        <v>721.31412522983044</v>
      </c>
      <c r="H19" s="15"/>
      <c r="I19" s="15"/>
      <c r="J19" s="25"/>
      <c r="K19" s="25"/>
    </row>
    <row r="20" spans="1:11" x14ac:dyDescent="0.25">
      <c r="A20" s="16" t="s">
        <v>250</v>
      </c>
      <c r="B20" s="13" t="s">
        <v>251</v>
      </c>
      <c r="C20" s="473">
        <v>11000</v>
      </c>
      <c r="D20" s="14">
        <f t="shared" si="4"/>
        <v>2222.536520316004</v>
      </c>
      <c r="E20" s="14">
        <f t="shared" si="5"/>
        <v>2090</v>
      </c>
      <c r="F20" s="14">
        <f t="shared" si="6"/>
        <v>13090</v>
      </c>
      <c r="G20" s="14">
        <f t="shared" si="7"/>
        <v>2644.8184591760451</v>
      </c>
      <c r="H20" s="15"/>
      <c r="I20" s="15"/>
      <c r="J20" s="26"/>
      <c r="K20" s="25"/>
    </row>
    <row r="21" spans="1:11" ht="57" customHeight="1" x14ac:dyDescent="0.25">
      <c r="A21" s="22" t="s">
        <v>252</v>
      </c>
      <c r="B21" s="23" t="s">
        <v>253</v>
      </c>
      <c r="C21" s="475">
        <v>23000</v>
      </c>
      <c r="D21" s="24">
        <f t="shared" si="4"/>
        <v>4647.1218152061911</v>
      </c>
      <c r="E21" s="24">
        <f t="shared" si="5"/>
        <v>4370</v>
      </c>
      <c r="F21" s="24">
        <f t="shared" si="6"/>
        <v>27370</v>
      </c>
      <c r="G21" s="24">
        <f t="shared" si="7"/>
        <v>5530.0749600953668</v>
      </c>
      <c r="H21" s="15"/>
      <c r="I21" s="15"/>
      <c r="J21" s="26"/>
      <c r="K21" s="25"/>
    </row>
    <row r="22" spans="1:11" x14ac:dyDescent="0.25">
      <c r="A22" s="22" t="s">
        <v>254</v>
      </c>
      <c r="B22" s="23" t="s">
        <v>255</v>
      </c>
      <c r="C22" s="474">
        <v>9000</v>
      </c>
      <c r="D22" s="20">
        <f t="shared" si="4"/>
        <v>1818.4389711676399</v>
      </c>
      <c r="E22" s="20">
        <f t="shared" si="5"/>
        <v>1710</v>
      </c>
      <c r="F22" s="20">
        <f t="shared" si="6"/>
        <v>10710</v>
      </c>
      <c r="G22" s="20">
        <f t="shared" si="7"/>
        <v>2163.9423756894917</v>
      </c>
      <c r="H22" s="15"/>
      <c r="I22" s="15"/>
      <c r="J22" s="26"/>
      <c r="K22" s="25"/>
    </row>
    <row r="23" spans="1:11" ht="56.25" customHeight="1" x14ac:dyDescent="0.25">
      <c r="A23" s="22" t="s">
        <v>256</v>
      </c>
      <c r="B23" s="23" t="s">
        <v>257</v>
      </c>
      <c r="C23" s="475">
        <v>0</v>
      </c>
      <c r="D23" s="24">
        <f t="shared" si="4"/>
        <v>0</v>
      </c>
      <c r="E23" s="24">
        <f t="shared" si="5"/>
        <v>0</v>
      </c>
      <c r="F23" s="24">
        <f t="shared" si="6"/>
        <v>0</v>
      </c>
      <c r="G23" s="24">
        <f t="shared" si="7"/>
        <v>0</v>
      </c>
      <c r="H23" s="15"/>
      <c r="I23" s="15"/>
    </row>
    <row r="24" spans="1:11" x14ac:dyDescent="0.25">
      <c r="A24" s="22" t="s">
        <v>258</v>
      </c>
      <c r="B24" s="23" t="s">
        <v>36</v>
      </c>
      <c r="C24" s="24">
        <f>SUM(C25:C30)</f>
        <v>5013719.0387669876</v>
      </c>
      <c r="D24" s="24">
        <f>SUM(D25:D30)</f>
        <v>1013015.7878421166</v>
      </c>
      <c r="E24" s="24">
        <f>SUM(E25:E30)</f>
        <v>952606.61736572767</v>
      </c>
      <c r="F24" s="24">
        <f>SUM(F25:F30)</f>
        <v>5966325.6561327158</v>
      </c>
      <c r="G24" s="24">
        <f>SUM(G25:G30)</f>
        <v>1205488.7875321188</v>
      </c>
      <c r="H24" s="15"/>
      <c r="I24" s="15"/>
    </row>
    <row r="25" spans="1:11" x14ac:dyDescent="0.25">
      <c r="A25" s="16" t="s">
        <v>259</v>
      </c>
      <c r="B25" s="13" t="s">
        <v>260</v>
      </c>
      <c r="C25" s="473">
        <v>0</v>
      </c>
      <c r="D25" s="14">
        <f t="shared" si="4"/>
        <v>0</v>
      </c>
      <c r="E25" s="14">
        <f t="shared" si="5"/>
        <v>0</v>
      </c>
      <c r="F25" s="14">
        <f t="shared" si="6"/>
        <v>0</v>
      </c>
      <c r="G25" s="14">
        <f t="shared" si="7"/>
        <v>0</v>
      </c>
      <c r="H25" s="15"/>
      <c r="I25" s="15"/>
    </row>
    <row r="26" spans="1:11" x14ac:dyDescent="0.25">
      <c r="A26" s="16" t="s">
        <v>261</v>
      </c>
      <c r="B26" s="13" t="s">
        <v>262</v>
      </c>
      <c r="C26" s="473">
        <v>0</v>
      </c>
      <c r="D26" s="14">
        <f t="shared" si="4"/>
        <v>0</v>
      </c>
      <c r="E26" s="14">
        <f t="shared" si="5"/>
        <v>0</v>
      </c>
      <c r="F26" s="14">
        <f t="shared" si="6"/>
        <v>0</v>
      </c>
      <c r="G26" s="14">
        <f t="shared" si="7"/>
        <v>0</v>
      </c>
      <c r="H26" s="15"/>
      <c r="I26" s="15"/>
    </row>
    <row r="27" spans="1:11" ht="45" x14ac:dyDescent="0.25">
      <c r="A27" s="16" t="s">
        <v>263</v>
      </c>
      <c r="B27" s="13" t="s">
        <v>264</v>
      </c>
      <c r="C27" s="473">
        <v>600000</v>
      </c>
      <c r="D27" s="14">
        <f t="shared" si="4"/>
        <v>121229.26474450932</v>
      </c>
      <c r="E27" s="14">
        <f t="shared" si="5"/>
        <v>114000</v>
      </c>
      <c r="F27" s="14">
        <f t="shared" si="6"/>
        <v>714000</v>
      </c>
      <c r="G27" s="14">
        <f t="shared" si="7"/>
        <v>144262.82504596611</v>
      </c>
      <c r="H27" s="15"/>
      <c r="I27" s="15"/>
    </row>
    <row r="28" spans="1:11" ht="45" x14ac:dyDescent="0.25">
      <c r="A28" s="16" t="s">
        <v>265</v>
      </c>
      <c r="B28" s="13" t="s">
        <v>266</v>
      </c>
      <c r="C28" s="473">
        <v>0</v>
      </c>
      <c r="D28" s="14">
        <f t="shared" si="4"/>
        <v>0</v>
      </c>
      <c r="E28" s="14">
        <f t="shared" si="5"/>
        <v>0</v>
      </c>
      <c r="F28" s="14">
        <f t="shared" si="6"/>
        <v>0</v>
      </c>
      <c r="G28" s="14">
        <f t="shared" si="7"/>
        <v>0</v>
      </c>
      <c r="H28" s="15"/>
      <c r="I28" s="15"/>
    </row>
    <row r="29" spans="1:11" ht="45" x14ac:dyDescent="0.25">
      <c r="A29" s="16" t="s">
        <v>267</v>
      </c>
      <c r="B29" s="13" t="s">
        <v>268</v>
      </c>
      <c r="C29" s="473">
        <v>43700.188502643447</v>
      </c>
      <c r="D29" s="14">
        <f t="shared" si="4"/>
        <v>8829.5695356198739</v>
      </c>
      <c r="E29" s="14">
        <f t="shared" si="5"/>
        <v>8303.035815502255</v>
      </c>
      <c r="F29" s="14">
        <f t="shared" si="6"/>
        <v>52003.224318145702</v>
      </c>
      <c r="G29" s="14">
        <f t="shared" si="7"/>
        <v>10507.18774738765</v>
      </c>
      <c r="H29" s="15"/>
      <c r="I29" s="15"/>
    </row>
    <row r="30" spans="1:11" x14ac:dyDescent="0.25">
      <c r="A30" s="16" t="s">
        <v>269</v>
      </c>
      <c r="B30" s="13" t="s">
        <v>270</v>
      </c>
      <c r="C30" s="473">
        <v>4370018.8502643444</v>
      </c>
      <c r="D30" s="14">
        <f t="shared" si="4"/>
        <v>882956.95356198738</v>
      </c>
      <c r="E30" s="14">
        <f t="shared" si="5"/>
        <v>830303.58155022538</v>
      </c>
      <c r="F30" s="14">
        <f t="shared" si="6"/>
        <v>5200322.43181457</v>
      </c>
      <c r="G30" s="14">
        <f t="shared" si="7"/>
        <v>1050718.7747387651</v>
      </c>
      <c r="H30" s="15"/>
      <c r="I30" s="15"/>
    </row>
    <row r="31" spans="1:11" ht="30" x14ac:dyDescent="0.25">
      <c r="A31" s="22" t="s">
        <v>271</v>
      </c>
      <c r="B31" s="23" t="s">
        <v>272</v>
      </c>
      <c r="C31" s="24">
        <v>0</v>
      </c>
      <c r="D31" s="24">
        <f t="shared" si="4"/>
        <v>0</v>
      </c>
      <c r="E31" s="24">
        <f t="shared" si="5"/>
        <v>0</v>
      </c>
      <c r="F31" s="24">
        <f t="shared" si="6"/>
        <v>0</v>
      </c>
      <c r="G31" s="24">
        <f t="shared" si="7"/>
        <v>0</v>
      </c>
      <c r="H31" s="15"/>
      <c r="I31" s="15"/>
    </row>
    <row r="32" spans="1:11" x14ac:dyDescent="0.25">
      <c r="A32" s="22" t="s">
        <v>273</v>
      </c>
      <c r="B32" s="23" t="s">
        <v>274</v>
      </c>
      <c r="C32" s="24">
        <f>SUM(C33:C35)</f>
        <v>557929.12808101764</v>
      </c>
      <c r="D32" s="24">
        <f>SUM(D33:D35)</f>
        <v>112728.89662801157</v>
      </c>
      <c r="E32" s="24">
        <f>SUM(E33:E35)</f>
        <v>106006.53433539336</v>
      </c>
      <c r="F32" s="24">
        <f>SUM(F33:F35)</f>
        <v>663935.66241641098</v>
      </c>
      <c r="G32" s="24">
        <f>SUM(G33:G35)</f>
        <v>134147.38698733377</v>
      </c>
      <c r="H32" s="15"/>
      <c r="I32" s="15"/>
    </row>
    <row r="33" spans="1:11" ht="30" x14ac:dyDescent="0.25">
      <c r="A33" s="16" t="s">
        <v>275</v>
      </c>
      <c r="B33" s="13" t="s">
        <v>276</v>
      </c>
      <c r="C33" s="473">
        <v>532929.12808101764</v>
      </c>
      <c r="D33" s="14">
        <f t="shared" si="4"/>
        <v>107677.67726365701</v>
      </c>
      <c r="E33" s="14">
        <f t="shared" si="5"/>
        <v>101256.53433539336</v>
      </c>
      <c r="F33" s="14">
        <f t="shared" si="6"/>
        <v>634185.66241641098</v>
      </c>
      <c r="G33" s="14">
        <f t="shared" si="7"/>
        <v>128136.43594375184</v>
      </c>
      <c r="H33" s="15">
        <v>1928402</v>
      </c>
      <c r="I33" s="15">
        <f>C33-98962</f>
        <v>433967.12808101764</v>
      </c>
    </row>
    <row r="34" spans="1:11" x14ac:dyDescent="0.25">
      <c r="A34" s="16" t="s">
        <v>277</v>
      </c>
      <c r="B34" s="13" t="s">
        <v>278</v>
      </c>
      <c r="C34" s="473">
        <v>25000</v>
      </c>
      <c r="D34" s="14">
        <f t="shared" si="4"/>
        <v>5051.2193643545552</v>
      </c>
      <c r="E34" s="14">
        <f t="shared" si="5"/>
        <v>4750</v>
      </c>
      <c r="F34" s="14">
        <f t="shared" si="6"/>
        <v>29750</v>
      </c>
      <c r="G34" s="14">
        <f t="shared" si="7"/>
        <v>6010.9510435819202</v>
      </c>
      <c r="H34" s="15"/>
      <c r="I34" s="15"/>
    </row>
    <row r="35" spans="1:11" x14ac:dyDescent="0.25">
      <c r="A35" s="16" t="s">
        <v>279</v>
      </c>
      <c r="B35" s="13" t="s">
        <v>280</v>
      </c>
      <c r="C35" s="14">
        <v>0</v>
      </c>
      <c r="D35" s="14">
        <f t="shared" si="4"/>
        <v>0</v>
      </c>
      <c r="E35" s="14">
        <v>0</v>
      </c>
      <c r="F35" s="14">
        <f t="shared" si="6"/>
        <v>0</v>
      </c>
      <c r="G35" s="14">
        <f t="shared" si="7"/>
        <v>0</v>
      </c>
      <c r="H35" s="15"/>
      <c r="I35" s="15"/>
    </row>
    <row r="36" spans="1:11" x14ac:dyDescent="0.25">
      <c r="A36" s="22" t="s">
        <v>281</v>
      </c>
      <c r="B36" s="23" t="s">
        <v>282</v>
      </c>
      <c r="C36" s="24">
        <f>C37+C40+C41</f>
        <v>2387522.4938029591</v>
      </c>
      <c r="D36" s="24">
        <f>D37+D40+D41</f>
        <v>482395.99414118339</v>
      </c>
      <c r="E36" s="24">
        <f>E37+E40+E41</f>
        <v>453629.27382256225</v>
      </c>
      <c r="F36" s="24">
        <f>F37+F40+F41</f>
        <v>2841151.7676255214</v>
      </c>
      <c r="G36" s="24">
        <f>G37+G40+G41</f>
        <v>574051.23302800825</v>
      </c>
      <c r="H36" s="15"/>
      <c r="I36" s="15"/>
    </row>
    <row r="37" spans="1:11" ht="30" x14ac:dyDescent="0.25">
      <c r="A37" s="16" t="s">
        <v>283</v>
      </c>
      <c r="B37" s="13" t="s">
        <v>284</v>
      </c>
      <c r="C37" s="14">
        <f>SUM(C38:C39)</f>
        <v>255805.98147888848</v>
      </c>
      <c r="D37" s="14">
        <f>SUM(D38:D39)</f>
        <v>51685.28508655537</v>
      </c>
      <c r="E37" s="14">
        <f>SUM(E38:E39)</f>
        <v>48603.136480988818</v>
      </c>
      <c r="F37" s="14">
        <f>SUM(F38:F39)</f>
        <v>304409.1179598773</v>
      </c>
      <c r="G37" s="14">
        <f>SUM(G38:G39)</f>
        <v>61505.489253000895</v>
      </c>
      <c r="H37" s="15"/>
      <c r="I37" s="15"/>
      <c r="J37" s="27"/>
    </row>
    <row r="38" spans="1:11" x14ac:dyDescent="0.25">
      <c r="A38" s="16" t="s">
        <v>285</v>
      </c>
      <c r="B38" s="13" t="s">
        <v>286</v>
      </c>
      <c r="C38" s="473">
        <v>213171.65123240708</v>
      </c>
      <c r="D38" s="14">
        <f t="shared" si="4"/>
        <v>43071.07090546281</v>
      </c>
      <c r="E38" s="14">
        <f t="shared" si="5"/>
        <v>40502.613734157349</v>
      </c>
      <c r="F38" s="14">
        <f t="shared" si="6"/>
        <v>253674.26496656443</v>
      </c>
      <c r="G38" s="14">
        <f t="shared" si="7"/>
        <v>51254.574377500743</v>
      </c>
      <c r="H38" s="15"/>
      <c r="I38" s="15"/>
      <c r="J38" s="27"/>
    </row>
    <row r="39" spans="1:11" ht="75" x14ac:dyDescent="0.25">
      <c r="A39" s="16" t="s">
        <v>287</v>
      </c>
      <c r="B39" s="13" t="s">
        <v>288</v>
      </c>
      <c r="C39" s="473">
        <v>42634.330246481411</v>
      </c>
      <c r="D39" s="14">
        <f t="shared" si="4"/>
        <v>8614.2141810925605</v>
      </c>
      <c r="E39" s="14">
        <f t="shared" si="5"/>
        <v>8100.5227468314679</v>
      </c>
      <c r="F39" s="14">
        <f t="shared" si="6"/>
        <v>50734.852993312881</v>
      </c>
      <c r="G39" s="14">
        <f t="shared" si="7"/>
        <v>10250.914875500148</v>
      </c>
      <c r="H39" s="15"/>
      <c r="I39" s="15"/>
      <c r="J39" s="27"/>
    </row>
    <row r="40" spans="1:11" x14ac:dyDescent="0.25">
      <c r="A40" s="16" t="s">
        <v>289</v>
      </c>
      <c r="B40" s="13" t="s">
        <v>290</v>
      </c>
      <c r="C40" s="473">
        <v>2131716.5123240706</v>
      </c>
      <c r="D40" s="14">
        <f t="shared" si="4"/>
        <v>430710.70905462804</v>
      </c>
      <c r="E40" s="14">
        <f t="shared" si="5"/>
        <v>405026.13734157343</v>
      </c>
      <c r="F40" s="14">
        <f t="shared" si="6"/>
        <v>2536742.6496656439</v>
      </c>
      <c r="G40" s="14">
        <f t="shared" si="7"/>
        <v>512545.74377500737</v>
      </c>
      <c r="H40" s="15"/>
      <c r="I40" s="15"/>
    </row>
    <row r="41" spans="1:11" x14ac:dyDescent="0.25">
      <c r="A41" s="16" t="s">
        <v>291</v>
      </c>
      <c r="B41" s="13" t="s">
        <v>292</v>
      </c>
      <c r="C41" s="14">
        <v>0</v>
      </c>
      <c r="D41" s="14">
        <f t="shared" si="4"/>
        <v>0</v>
      </c>
      <c r="E41" s="14">
        <f t="shared" si="5"/>
        <v>0</v>
      </c>
      <c r="F41" s="14">
        <f t="shared" si="6"/>
        <v>0</v>
      </c>
      <c r="G41" s="14">
        <f t="shared" si="7"/>
        <v>0</v>
      </c>
      <c r="H41" s="15"/>
      <c r="I41" s="15"/>
      <c r="J41" s="26"/>
      <c r="K41" s="25"/>
    </row>
    <row r="42" spans="1:11" x14ac:dyDescent="0.25">
      <c r="A42" s="649" t="s">
        <v>293</v>
      </c>
      <c r="B42" s="649"/>
      <c r="C42" s="24">
        <f>C17+C21+C22+C23+C24+C31+C32+C36</f>
        <v>8039198.1606509648</v>
      </c>
      <c r="D42" s="24">
        <f>D17+D21+D22+D23+D24+D31+D32+D36</f>
        <v>1624310.1369185469</v>
      </c>
      <c r="E42" s="24">
        <f>E17+E21+E22+E23+E24+E31+E32+E36</f>
        <v>1527447.6505236833</v>
      </c>
      <c r="F42" s="24">
        <f>F17+F21+F22+F23+F24+F31+F32+F36</f>
        <v>9566645.8111746479</v>
      </c>
      <c r="G42" s="24">
        <f>G17+G21+G22+G23+G24+G31+G32+G36</f>
        <v>1932929.0629330711</v>
      </c>
      <c r="H42" s="15"/>
      <c r="I42" s="15"/>
    </row>
    <row r="43" spans="1:11" x14ac:dyDescent="0.25">
      <c r="A43" s="649" t="s">
        <v>294</v>
      </c>
      <c r="B43" s="649"/>
      <c r="C43" s="649"/>
      <c r="D43" s="649"/>
      <c r="E43" s="649"/>
      <c r="F43" s="649"/>
      <c r="G43" s="649"/>
    </row>
    <row r="44" spans="1:11" x14ac:dyDescent="0.25">
      <c r="A44" s="22" t="s">
        <v>295</v>
      </c>
      <c r="B44" s="28" t="s">
        <v>296</v>
      </c>
      <c r="C44" s="24">
        <f>SUM(C45:C49)</f>
        <v>194064079.91128653</v>
      </c>
      <c r="D44" s="24">
        <f>SUM(D45:D49)</f>
        <v>39210409.534941614</v>
      </c>
      <c r="E44" s="24">
        <f>SUM(E45:E49)</f>
        <v>36872175.183144443</v>
      </c>
      <c r="F44" s="24">
        <f>SUM(F45:F49)</f>
        <v>230936255.09443098</v>
      </c>
      <c r="G44" s="24">
        <f>SUM(G45:G49)</f>
        <v>46660387.34658052</v>
      </c>
      <c r="H44" s="15"/>
      <c r="I44" s="15"/>
    </row>
    <row r="45" spans="1:11" ht="45" x14ac:dyDescent="0.25">
      <c r="A45" s="16" t="s">
        <v>297</v>
      </c>
      <c r="B45" s="29" t="s">
        <v>298</v>
      </c>
      <c r="C45" s="14">
        <v>0</v>
      </c>
      <c r="D45" s="14">
        <f t="shared" si="4"/>
        <v>0</v>
      </c>
      <c r="E45" s="14">
        <f t="shared" ref="E45:E54" si="8">C45*$J$5</f>
        <v>0</v>
      </c>
      <c r="F45" s="14">
        <f t="shared" ref="F45:F54" si="9">C45+E45</f>
        <v>0</v>
      </c>
      <c r="G45" s="14">
        <f t="shared" si="7"/>
        <v>0</v>
      </c>
      <c r="H45" s="15"/>
      <c r="I45" s="15"/>
    </row>
    <row r="46" spans="1:11" ht="45" x14ac:dyDescent="0.25">
      <c r="A46" s="16" t="s">
        <v>299</v>
      </c>
      <c r="B46" s="29" t="s">
        <v>300</v>
      </c>
      <c r="C46" s="14">
        <v>0</v>
      </c>
      <c r="D46" s="14">
        <f t="shared" si="4"/>
        <v>0</v>
      </c>
      <c r="E46" s="14">
        <f t="shared" si="8"/>
        <v>0</v>
      </c>
      <c r="F46" s="14">
        <f t="shared" si="9"/>
        <v>0</v>
      </c>
      <c r="G46" s="14">
        <f t="shared" si="7"/>
        <v>0</v>
      </c>
      <c r="H46" s="15"/>
      <c r="I46" s="15"/>
    </row>
    <row r="47" spans="1:11" ht="30" x14ac:dyDescent="0.25">
      <c r="A47" s="16" t="s">
        <v>301</v>
      </c>
      <c r="B47" s="29" t="s">
        <v>302</v>
      </c>
      <c r="C47" s="14">
        <v>0</v>
      </c>
      <c r="D47" s="14">
        <f t="shared" si="4"/>
        <v>0</v>
      </c>
      <c r="E47" s="14">
        <f t="shared" si="8"/>
        <v>0</v>
      </c>
      <c r="F47" s="14">
        <f t="shared" si="9"/>
        <v>0</v>
      </c>
      <c r="G47" s="14">
        <f t="shared" si="7"/>
        <v>0</v>
      </c>
      <c r="H47" s="15"/>
      <c r="I47" s="15"/>
    </row>
    <row r="48" spans="1:11" x14ac:dyDescent="0.25">
      <c r="A48" s="16" t="s">
        <v>303</v>
      </c>
      <c r="B48" s="29" t="s">
        <v>304</v>
      </c>
      <c r="C48" s="14">
        <v>0</v>
      </c>
      <c r="D48" s="14">
        <f t="shared" si="4"/>
        <v>0</v>
      </c>
      <c r="E48" s="14">
        <f t="shared" si="8"/>
        <v>0</v>
      </c>
      <c r="F48" s="14">
        <f t="shared" si="9"/>
        <v>0</v>
      </c>
      <c r="G48" s="14">
        <f t="shared" si="7"/>
        <v>0</v>
      </c>
      <c r="H48" s="15"/>
      <c r="I48" s="15"/>
    </row>
    <row r="49" spans="1:11" x14ac:dyDescent="0.25">
      <c r="A49" s="16" t="s">
        <v>305</v>
      </c>
      <c r="B49" s="29" t="s">
        <v>306</v>
      </c>
      <c r="C49" s="475">
        <v>194064079.91128653</v>
      </c>
      <c r="D49" s="14">
        <f t="shared" si="4"/>
        <v>39210409.534941614</v>
      </c>
      <c r="E49" s="14">
        <f t="shared" si="8"/>
        <v>36872175.183144443</v>
      </c>
      <c r="F49" s="14">
        <f t="shared" si="9"/>
        <v>230936255.09443098</v>
      </c>
      <c r="G49" s="14">
        <f t="shared" si="7"/>
        <v>46660387.34658052</v>
      </c>
      <c r="H49" s="15"/>
      <c r="I49" s="15"/>
    </row>
    <row r="50" spans="1:11" ht="30" x14ac:dyDescent="0.25">
      <c r="A50" s="22" t="s">
        <v>307</v>
      </c>
      <c r="B50" s="23" t="s">
        <v>308</v>
      </c>
      <c r="C50" s="475">
        <v>2944160.2122845408</v>
      </c>
      <c r="D50" s="24">
        <f t="shared" si="4"/>
        <v>594863.96304215561</v>
      </c>
      <c r="E50" s="24">
        <f t="shared" si="8"/>
        <v>559390.44033406279</v>
      </c>
      <c r="F50" s="24">
        <f t="shared" si="9"/>
        <v>3503550.6526186038</v>
      </c>
      <c r="G50" s="24">
        <f t="shared" si="7"/>
        <v>707888.11602016527</v>
      </c>
      <c r="H50" s="15"/>
      <c r="I50" s="15"/>
    </row>
    <row r="51" spans="1:11" ht="45" x14ac:dyDescent="0.25">
      <c r="A51" s="22" t="s">
        <v>309</v>
      </c>
      <c r="B51" s="23" t="s">
        <v>310</v>
      </c>
      <c r="C51" s="475">
        <v>16108311.108835999</v>
      </c>
      <c r="D51" s="24">
        <f t="shared" si="4"/>
        <v>3254664.5199999996</v>
      </c>
      <c r="E51" s="24">
        <f t="shared" si="8"/>
        <v>3060579.11067884</v>
      </c>
      <c r="F51" s="24">
        <f t="shared" si="9"/>
        <v>19168890.219514839</v>
      </c>
      <c r="G51" s="24">
        <f t="shared" si="7"/>
        <v>3873050.7788</v>
      </c>
      <c r="H51" s="15"/>
      <c r="I51" s="15"/>
    </row>
    <row r="52" spans="1:11" ht="60" x14ac:dyDescent="0.25">
      <c r="A52" s="22" t="s">
        <v>311</v>
      </c>
      <c r="B52" s="23" t="s">
        <v>312</v>
      </c>
      <c r="C52" s="24">
        <v>0</v>
      </c>
      <c r="D52" s="24">
        <f t="shared" si="4"/>
        <v>0</v>
      </c>
      <c r="E52" s="24">
        <f t="shared" si="8"/>
        <v>0</v>
      </c>
      <c r="F52" s="24">
        <f t="shared" si="9"/>
        <v>0</v>
      </c>
      <c r="G52" s="24">
        <f t="shared" si="7"/>
        <v>0</v>
      </c>
      <c r="H52" s="15"/>
      <c r="I52" s="15"/>
    </row>
    <row r="53" spans="1:11" x14ac:dyDescent="0.25">
      <c r="A53" s="22" t="s">
        <v>313</v>
      </c>
      <c r="B53" s="23" t="s">
        <v>314</v>
      </c>
      <c r="C53" s="475">
        <v>55100</v>
      </c>
      <c r="D53" s="24">
        <f t="shared" si="4"/>
        <v>11132.887479037439</v>
      </c>
      <c r="E53" s="24">
        <f t="shared" si="8"/>
        <v>10469</v>
      </c>
      <c r="F53" s="24">
        <f t="shared" si="9"/>
        <v>65569</v>
      </c>
      <c r="G53" s="24">
        <f t="shared" si="7"/>
        <v>13248.136100054553</v>
      </c>
      <c r="H53" s="15"/>
      <c r="I53" s="15"/>
    </row>
    <row r="54" spans="1:11" x14ac:dyDescent="0.25">
      <c r="A54" s="22" t="s">
        <v>315</v>
      </c>
      <c r="B54" s="23" t="s">
        <v>55</v>
      </c>
      <c r="C54" s="24">
        <v>0</v>
      </c>
      <c r="D54" s="24">
        <f t="shared" si="4"/>
        <v>0</v>
      </c>
      <c r="E54" s="24">
        <f t="shared" si="8"/>
        <v>0</v>
      </c>
      <c r="F54" s="24">
        <f t="shared" si="9"/>
        <v>0</v>
      </c>
      <c r="G54" s="24">
        <f t="shared" si="7"/>
        <v>0</v>
      </c>
      <c r="H54" s="15"/>
      <c r="I54" s="15"/>
    </row>
    <row r="55" spans="1:11" x14ac:dyDescent="0.25">
      <c r="A55" s="649" t="s">
        <v>316</v>
      </c>
      <c r="B55" s="649"/>
      <c r="C55" s="24">
        <f>C44+C50+C51+C52+C53+C54</f>
        <v>213171651.23240706</v>
      </c>
      <c r="D55" s="24">
        <f>D44+D50+D51+D52+D53+D54</f>
        <v>43071070.905462801</v>
      </c>
      <c r="E55" s="24">
        <f>E44+E50+E51+E52+E53+E54</f>
        <v>40502613.734157339</v>
      </c>
      <c r="F55" s="24">
        <f>F44+F50+F51+F52+F53+F54</f>
        <v>253674264.96656445</v>
      </c>
      <c r="G55" s="24">
        <f>G44+G50+G51+G52+G53+G54</f>
        <v>51254574.377500743</v>
      </c>
      <c r="H55" s="15"/>
      <c r="I55" s="15"/>
    </row>
    <row r="56" spans="1:11" x14ac:dyDescent="0.25">
      <c r="A56" s="649" t="s">
        <v>317</v>
      </c>
      <c r="B56" s="649"/>
      <c r="C56" s="649"/>
      <c r="D56" s="649"/>
      <c r="E56" s="649"/>
      <c r="F56" s="649"/>
      <c r="G56" s="649"/>
      <c r="H56" s="15"/>
      <c r="I56" s="15"/>
    </row>
    <row r="57" spans="1:11" s="30" customFormat="1" x14ac:dyDescent="0.25">
      <c r="A57" s="22" t="s">
        <v>318</v>
      </c>
      <c r="B57" s="23" t="s">
        <v>319</v>
      </c>
      <c r="C57" s="24">
        <f>SUM(C58:C59)</f>
        <v>2018266.43107738</v>
      </c>
      <c r="D57" s="24">
        <f>SUM(D58:D59)</f>
        <v>407788.25916339282</v>
      </c>
      <c r="E57" s="24">
        <f>SUM(E58:E59)</f>
        <v>383470.62190470216</v>
      </c>
      <c r="F57" s="24">
        <f>SUM(F58:F59)</f>
        <v>2401737.0529820821</v>
      </c>
      <c r="G57" s="24">
        <f>SUM(G58:G59)</f>
        <v>485268.02840443741</v>
      </c>
      <c r="H57" s="15"/>
      <c r="I57" s="15"/>
    </row>
    <row r="58" spans="1:11" ht="30" x14ac:dyDescent="0.25">
      <c r="A58" s="16" t="s">
        <v>320</v>
      </c>
      <c r="B58" s="13" t="s">
        <v>321</v>
      </c>
      <c r="C58" s="473">
        <v>1552512.6392902923</v>
      </c>
      <c r="D58" s="14">
        <f t="shared" si="4"/>
        <v>313683.27627953293</v>
      </c>
      <c r="E58" s="14">
        <f t="shared" ref="E58:E67" si="10">C58*$J$5</f>
        <v>294977.40146515553</v>
      </c>
      <c r="F58" s="14">
        <f t="shared" ref="F58:F67" si="11">C58+E58</f>
        <v>1847490.0407554479</v>
      </c>
      <c r="G58" s="14">
        <f t="shared" si="7"/>
        <v>373283.09877264418</v>
      </c>
      <c r="H58" s="15"/>
      <c r="I58" s="15"/>
    </row>
    <row r="59" spans="1:11" ht="30" x14ac:dyDescent="0.25">
      <c r="A59" s="16" t="s">
        <v>322</v>
      </c>
      <c r="B59" s="13" t="s">
        <v>323</v>
      </c>
      <c r="C59" s="473">
        <v>465753.79178708768</v>
      </c>
      <c r="D59" s="14">
        <f t="shared" si="4"/>
        <v>94104.982883859877</v>
      </c>
      <c r="E59" s="14">
        <f t="shared" si="10"/>
        <v>88493.220439546654</v>
      </c>
      <c r="F59" s="14">
        <f t="shared" si="11"/>
        <v>554247.01222663431</v>
      </c>
      <c r="G59" s="14">
        <f t="shared" si="7"/>
        <v>111984.92963179325</v>
      </c>
      <c r="H59" s="15"/>
      <c r="I59" s="15"/>
    </row>
    <row r="60" spans="1:11" s="30" customFormat="1" ht="30" x14ac:dyDescent="0.25">
      <c r="A60" s="22" t="s">
        <v>324</v>
      </c>
      <c r="B60" s="23" t="s">
        <v>325</v>
      </c>
      <c r="C60" s="24">
        <f>SUM(C61:C65)</f>
        <v>2217187.0288390396</v>
      </c>
      <c r="D60" s="24">
        <f>SUM(D61:D65)</f>
        <v>447979.92217869998</v>
      </c>
      <c r="E60" s="24">
        <f>SUM(E61:E65)</f>
        <v>5700</v>
      </c>
      <c r="F60" s="24">
        <f>SUM(F61:F65)</f>
        <v>2222887.0288390396</v>
      </c>
      <c r="G60" s="24">
        <f>SUM(G61:G65)</f>
        <v>449131.60019377281</v>
      </c>
      <c r="H60" s="15"/>
      <c r="I60" s="15"/>
      <c r="J60" s="31"/>
      <c r="K60" s="31"/>
    </row>
    <row r="61" spans="1:11" ht="30" x14ac:dyDescent="0.25">
      <c r="A61" s="16" t="s">
        <v>326</v>
      </c>
      <c r="B61" s="13" t="s">
        <v>327</v>
      </c>
      <c r="C61" s="473">
        <v>0</v>
      </c>
      <c r="D61" s="14">
        <f t="shared" si="4"/>
        <v>0</v>
      </c>
      <c r="E61" s="36">
        <f t="shared" si="10"/>
        <v>0</v>
      </c>
      <c r="F61" s="14">
        <f t="shared" si="11"/>
        <v>0</v>
      </c>
      <c r="G61" s="14">
        <f t="shared" si="7"/>
        <v>0</v>
      </c>
      <c r="H61" s="15"/>
      <c r="I61" s="15"/>
    </row>
    <row r="62" spans="1:11" ht="30" x14ac:dyDescent="0.25">
      <c r="A62" s="16" t="s">
        <v>328</v>
      </c>
      <c r="B62" s="13" t="s">
        <v>329</v>
      </c>
      <c r="C62" s="473">
        <v>994175.92219956359</v>
      </c>
      <c r="D62" s="14">
        <f t="shared" si="4"/>
        <v>200872.02679157932</v>
      </c>
      <c r="E62" s="36">
        <v>0</v>
      </c>
      <c r="F62" s="14">
        <f t="shared" si="11"/>
        <v>994175.92219956359</v>
      </c>
      <c r="G62" s="14">
        <f t="shared" si="7"/>
        <v>200872.02679157932</v>
      </c>
      <c r="H62" s="15"/>
      <c r="I62" s="15"/>
    </row>
    <row r="63" spans="1:11" ht="60" x14ac:dyDescent="0.25">
      <c r="A63" s="16" t="s">
        <v>330</v>
      </c>
      <c r="B63" s="13" t="s">
        <v>331</v>
      </c>
      <c r="C63" s="473">
        <v>198835.1844399127</v>
      </c>
      <c r="D63" s="14">
        <f t="shared" si="4"/>
        <v>40174.40535831586</v>
      </c>
      <c r="E63" s="36">
        <v>0</v>
      </c>
      <c r="F63" s="14">
        <f t="shared" si="11"/>
        <v>198835.1844399127</v>
      </c>
      <c r="G63" s="14">
        <f t="shared" si="7"/>
        <v>40174.40535831586</v>
      </c>
      <c r="H63" s="15"/>
      <c r="I63" s="15"/>
    </row>
    <row r="64" spans="1:11" ht="30" x14ac:dyDescent="0.25">
      <c r="A64" s="16" t="s">
        <v>332</v>
      </c>
      <c r="B64" s="13" t="s">
        <v>333</v>
      </c>
      <c r="C64" s="473">
        <v>994175.92219956359</v>
      </c>
      <c r="D64" s="14">
        <f t="shared" si="4"/>
        <v>200872.02679157932</v>
      </c>
      <c r="E64" s="36">
        <v>0</v>
      </c>
      <c r="F64" s="14">
        <f t="shared" si="11"/>
        <v>994175.92219956359</v>
      </c>
      <c r="G64" s="14">
        <f t="shared" si="7"/>
        <v>200872.02679157932</v>
      </c>
      <c r="H64" s="15"/>
      <c r="I64" s="15"/>
    </row>
    <row r="65" spans="1:9" ht="45" x14ac:dyDescent="0.25">
      <c r="A65" s="16" t="s">
        <v>334</v>
      </c>
      <c r="B65" s="13" t="s">
        <v>335</v>
      </c>
      <c r="C65" s="473">
        <v>30000</v>
      </c>
      <c r="D65" s="14">
        <f t="shared" si="4"/>
        <v>6061.4632372254664</v>
      </c>
      <c r="E65" s="14">
        <f t="shared" si="10"/>
        <v>5700</v>
      </c>
      <c r="F65" s="14">
        <f t="shared" si="11"/>
        <v>35700</v>
      </c>
      <c r="G65" s="14">
        <f t="shared" si="7"/>
        <v>7213.1412522983046</v>
      </c>
      <c r="H65" s="15"/>
      <c r="I65" s="15"/>
    </row>
    <row r="66" spans="1:9" s="30" customFormat="1" ht="30" x14ac:dyDescent="0.25">
      <c r="A66" s="22" t="s">
        <v>336</v>
      </c>
      <c r="B66" s="23" t="s">
        <v>337</v>
      </c>
      <c r="C66" s="475">
        <v>6625419.7332608504</v>
      </c>
      <c r="D66" s="24">
        <f t="shared" si="4"/>
        <v>1338657.93814496</v>
      </c>
      <c r="E66" s="24">
        <f t="shared" si="10"/>
        <v>1258829.7493195615</v>
      </c>
      <c r="F66" s="24">
        <f t="shared" si="11"/>
        <v>7884249.4825804122</v>
      </c>
      <c r="G66" s="24">
        <f t="shared" si="7"/>
        <v>1593002.9463925024</v>
      </c>
      <c r="H66" s="15"/>
      <c r="I66" s="15"/>
    </row>
    <row r="67" spans="1:9" s="30" customFormat="1" ht="30" x14ac:dyDescent="0.25">
      <c r="A67" s="22" t="s">
        <v>338</v>
      </c>
      <c r="B67" s="23" t="s">
        <v>339</v>
      </c>
      <c r="C67" s="475">
        <v>173535</v>
      </c>
      <c r="D67" s="24">
        <f t="shared" si="4"/>
        <v>35062.534095730713</v>
      </c>
      <c r="E67" s="24">
        <f t="shared" si="10"/>
        <v>32971.65</v>
      </c>
      <c r="F67" s="24">
        <f t="shared" si="11"/>
        <v>206506.65</v>
      </c>
      <c r="G67" s="24">
        <f t="shared" si="7"/>
        <v>41724.415573919541</v>
      </c>
      <c r="H67" s="15"/>
      <c r="I67" s="15"/>
    </row>
    <row r="68" spans="1:9" x14ac:dyDescent="0.25">
      <c r="A68" s="649" t="s">
        <v>340</v>
      </c>
      <c r="B68" s="649"/>
      <c r="C68" s="24">
        <f>C57+C60+C66+C67</f>
        <v>11034408.19317727</v>
      </c>
      <c r="D68" s="24">
        <f>D57+D60+D66+D67</f>
        <v>2229488.6535827834</v>
      </c>
      <c r="E68" s="24">
        <f>E57+E60+E66+E67</f>
        <v>1680972.0212242636</v>
      </c>
      <c r="F68" s="24">
        <f>F57+F60+F66+F67</f>
        <v>12715380.214401534</v>
      </c>
      <c r="G68" s="24">
        <f>G57+G60+G66+G67</f>
        <v>2569126.9905646322</v>
      </c>
      <c r="H68" s="15"/>
      <c r="I68" s="15"/>
    </row>
    <row r="69" spans="1:9" x14ac:dyDescent="0.25">
      <c r="A69" s="649" t="s">
        <v>341</v>
      </c>
      <c r="B69" s="649"/>
      <c r="C69" s="649"/>
      <c r="D69" s="649"/>
      <c r="E69" s="649"/>
      <c r="F69" s="649"/>
      <c r="G69" s="649"/>
      <c r="H69" s="15"/>
      <c r="I69" s="15"/>
    </row>
    <row r="70" spans="1:9" s="30" customFormat="1" ht="30" x14ac:dyDescent="0.25">
      <c r="A70" s="22" t="s">
        <v>342</v>
      </c>
      <c r="B70" s="23" t="s">
        <v>343</v>
      </c>
      <c r="C70" s="24">
        <v>0</v>
      </c>
      <c r="D70" s="24">
        <f t="shared" si="4"/>
        <v>0</v>
      </c>
      <c r="E70" s="24">
        <f>C70*$J$5</f>
        <v>0</v>
      </c>
      <c r="F70" s="24">
        <f>C70+E70</f>
        <v>0</v>
      </c>
      <c r="G70" s="24">
        <f t="shared" si="7"/>
        <v>0</v>
      </c>
      <c r="H70" s="15"/>
      <c r="I70" s="15"/>
    </row>
    <row r="71" spans="1:9" s="30" customFormat="1" ht="38.25" customHeight="1" x14ac:dyDescent="0.25">
      <c r="A71" s="22" t="s">
        <v>344</v>
      </c>
      <c r="B71" s="32" t="s">
        <v>345</v>
      </c>
      <c r="C71" s="475">
        <v>194064.07991128654</v>
      </c>
      <c r="D71" s="24">
        <f t="shared" si="4"/>
        <v>39210.409534941617</v>
      </c>
      <c r="E71" s="24">
        <f>C71*$J$5</f>
        <v>36872.175183144442</v>
      </c>
      <c r="F71" s="24">
        <f>C71+E71</f>
        <v>230936.25509443099</v>
      </c>
      <c r="G71" s="24">
        <f t="shared" si="7"/>
        <v>46660.387346580523</v>
      </c>
      <c r="H71" s="15"/>
      <c r="I71" s="15"/>
    </row>
    <row r="72" spans="1:9" x14ac:dyDescent="0.25">
      <c r="A72" s="649" t="s">
        <v>346</v>
      </c>
      <c r="B72" s="649"/>
      <c r="C72" s="24">
        <f>SUM(C70:C71)</f>
        <v>194064.07991128654</v>
      </c>
      <c r="D72" s="24">
        <f>SUM(D70:D71)</f>
        <v>39210.409534941617</v>
      </c>
      <c r="E72" s="24">
        <f>SUM(E70:E71)</f>
        <v>36872.175183144442</v>
      </c>
      <c r="F72" s="24">
        <f>SUM(F70:F71)</f>
        <v>230936.25509443099</v>
      </c>
      <c r="G72" s="24">
        <f>SUM(G70:G71)</f>
        <v>46660.387346580523</v>
      </c>
      <c r="H72" s="15"/>
      <c r="I72" s="15"/>
    </row>
    <row r="73" spans="1:9" x14ac:dyDescent="0.25">
      <c r="A73" s="649" t="s">
        <v>347</v>
      </c>
      <c r="B73" s="649"/>
      <c r="C73" s="24">
        <f>C12+C15+C42+C55+C68+C72</f>
        <v>232713753.34319794</v>
      </c>
      <c r="D73" s="24">
        <f>D12+D15+D42+D55+D68+D72</f>
        <v>47019528.689551629</v>
      </c>
      <c r="E73" s="24">
        <f>E12+E15+E42+E55+E68+E72</f>
        <v>43800047.599728182</v>
      </c>
      <c r="F73" s="24">
        <f>F12+F15+F42+F55+F68+F72</f>
        <v>276513800.94292611</v>
      </c>
      <c r="G73" s="24">
        <f>G12+G15+G42+G55+G68+G72</f>
        <v>55869274.633367576</v>
      </c>
      <c r="H73" s="15"/>
      <c r="I73" s="15"/>
    </row>
    <row r="74" spans="1:9" ht="27.75" customHeight="1" x14ac:dyDescent="0.25">
      <c r="A74" s="650" t="s">
        <v>348</v>
      </c>
      <c r="B74" s="651"/>
      <c r="C74" s="24">
        <f>C8+C10+C11+C15+C44+C50+C58</f>
        <v>198835184.43991271</v>
      </c>
      <c r="D74" s="24">
        <f>D8+D10+D11+D15+D44+D50+D58</f>
        <v>40174405.358315863</v>
      </c>
      <c r="E74" s="24">
        <f>E8+E10+E11+E15+E44+E50+E58</f>
        <v>37778685.043583415</v>
      </c>
      <c r="F74" s="24">
        <f>F8+F10+F11+F15+F44+F50+F58</f>
        <v>236613869.48349616</v>
      </c>
      <c r="G74" s="24">
        <f>G8+G10+G11+G15+G44+G50+G58</f>
        <v>47807542.376395881</v>
      </c>
      <c r="H74" s="15"/>
      <c r="I74" s="15"/>
    </row>
    <row r="76" spans="1:9" x14ac:dyDescent="0.25">
      <c r="E76" s="34"/>
    </row>
    <row r="77" spans="1:9" x14ac:dyDescent="0.25">
      <c r="C77" s="27"/>
      <c r="D77" s="15"/>
      <c r="F77" s="15"/>
      <c r="G77" s="33"/>
    </row>
    <row r="78" spans="1:9" x14ac:dyDescent="0.25">
      <c r="D78" s="21"/>
      <c r="F78" s="15"/>
    </row>
    <row r="79" spans="1:9" x14ac:dyDescent="0.25">
      <c r="D79" s="21"/>
      <c r="F79" s="15"/>
    </row>
    <row r="80" spans="1:9" x14ac:dyDescent="0.25">
      <c r="F80" s="15"/>
    </row>
    <row r="81" spans="6:6" x14ac:dyDescent="0.25">
      <c r="F81" s="15"/>
    </row>
  </sheetData>
  <mergeCells count="21">
    <mergeCell ref="A42:B42"/>
    <mergeCell ref="E1:F1"/>
    <mergeCell ref="A2:G2"/>
    <mergeCell ref="A3:A5"/>
    <mergeCell ref="B3:B5"/>
    <mergeCell ref="C3:D4"/>
    <mergeCell ref="E3:E4"/>
    <mergeCell ref="F3:G4"/>
    <mergeCell ref="A6:G6"/>
    <mergeCell ref="A12:B12"/>
    <mergeCell ref="A13:G13"/>
    <mergeCell ref="A15:B15"/>
    <mergeCell ref="A16:G16"/>
    <mergeCell ref="A73:B73"/>
    <mergeCell ref="A74:B74"/>
    <mergeCell ref="A43:G43"/>
    <mergeCell ref="A55:B55"/>
    <mergeCell ref="A56:G56"/>
    <mergeCell ref="A68:B68"/>
    <mergeCell ref="A69:G69"/>
    <mergeCell ref="A72:B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B6AB-D489-4C96-873B-B120A03FAAE1}">
  <dimension ref="A1:L94"/>
  <sheetViews>
    <sheetView topLeftCell="A6" zoomScale="70" zoomScaleNormal="70" workbookViewId="0">
      <selection activeCell="D28" sqref="D28"/>
    </sheetView>
  </sheetViews>
  <sheetFormatPr defaultRowHeight="15" x14ac:dyDescent="0.25"/>
  <cols>
    <col min="1" max="1" width="7.28515625" style="535" customWidth="1"/>
    <col min="2" max="2" width="46.42578125" style="535" customWidth="1"/>
    <col min="3" max="3" width="22.7109375" style="535" customWidth="1"/>
    <col min="4" max="4" width="20.42578125" style="535" customWidth="1"/>
    <col min="5" max="5" width="20.28515625" style="535" customWidth="1"/>
    <col min="6" max="6" width="23.140625" style="535" customWidth="1"/>
    <col min="7" max="7" width="20.7109375" style="535" customWidth="1"/>
    <col min="8" max="8" width="15.140625" style="537" bestFit="1" customWidth="1"/>
    <col min="9" max="9" width="20.42578125" style="535" customWidth="1"/>
    <col min="10" max="10" width="24.140625" style="535" customWidth="1"/>
    <col min="11" max="16384" width="9.140625" style="535"/>
  </cols>
  <sheetData>
    <row r="1" spans="1:12" x14ac:dyDescent="0.25">
      <c r="G1" s="536" t="s">
        <v>591</v>
      </c>
    </row>
    <row r="2" spans="1:12" ht="38.25" customHeight="1" x14ac:dyDescent="0.25">
      <c r="A2" s="658" t="s">
        <v>592</v>
      </c>
      <c r="B2" s="658"/>
      <c r="C2" s="658"/>
      <c r="D2" s="658"/>
      <c r="E2" s="658"/>
      <c r="F2" s="658"/>
      <c r="G2" s="658"/>
    </row>
    <row r="3" spans="1:12" ht="15" customHeight="1" x14ac:dyDescent="0.25">
      <c r="A3" s="658" t="s">
        <v>222</v>
      </c>
      <c r="B3" s="658" t="s">
        <v>223</v>
      </c>
      <c r="C3" s="659" t="s">
        <v>224</v>
      </c>
      <c r="D3" s="659"/>
      <c r="E3" s="659" t="s">
        <v>76</v>
      </c>
      <c r="F3" s="659" t="s">
        <v>225</v>
      </c>
      <c r="G3" s="659"/>
    </row>
    <row r="4" spans="1:12" ht="1.5" customHeight="1" x14ac:dyDescent="0.25">
      <c r="A4" s="658"/>
      <c r="B4" s="658"/>
      <c r="C4" s="659"/>
      <c r="D4" s="659"/>
      <c r="E4" s="659"/>
      <c r="F4" s="659"/>
      <c r="G4" s="659"/>
    </row>
    <row r="5" spans="1:12" x14ac:dyDescent="0.25">
      <c r="A5" s="658"/>
      <c r="B5" s="658"/>
      <c r="C5" s="538" t="s">
        <v>226</v>
      </c>
      <c r="D5" s="538" t="s">
        <v>221</v>
      </c>
      <c r="E5" s="538" t="s">
        <v>226</v>
      </c>
      <c r="F5" s="538" t="s">
        <v>226</v>
      </c>
      <c r="G5" s="538" t="s">
        <v>221</v>
      </c>
    </row>
    <row r="6" spans="1:12" ht="15" customHeight="1" x14ac:dyDescent="0.25">
      <c r="A6" s="659" t="s">
        <v>227</v>
      </c>
      <c r="B6" s="660"/>
      <c r="C6" s="660"/>
      <c r="D6" s="660"/>
      <c r="E6" s="660"/>
      <c r="F6" s="660"/>
      <c r="G6" s="660"/>
      <c r="J6" s="538">
        <v>4.9752999999999998</v>
      </c>
    </row>
    <row r="7" spans="1:12" ht="15" customHeight="1" x14ac:dyDescent="0.25">
      <c r="A7" s="539" t="s">
        <v>228</v>
      </c>
      <c r="B7" s="540" t="s">
        <v>229</v>
      </c>
      <c r="C7" s="541">
        <v>0</v>
      </c>
      <c r="D7" s="541">
        <f>C7/$J$9</f>
        <v>0</v>
      </c>
      <c r="E7" s="541">
        <f>C7*$J$11</f>
        <v>0</v>
      </c>
      <c r="F7" s="541">
        <f>C7+E7</f>
        <v>0</v>
      </c>
      <c r="G7" s="541">
        <f>F7/$J$9</f>
        <v>0</v>
      </c>
      <c r="H7" s="542"/>
      <c r="I7" s="543"/>
    </row>
    <row r="8" spans="1:12" x14ac:dyDescent="0.25">
      <c r="A8" s="544" t="s">
        <v>230</v>
      </c>
      <c r="B8" s="540" t="s">
        <v>593</v>
      </c>
      <c r="C8" s="541">
        <v>111978.82917634801</v>
      </c>
      <c r="D8" s="541">
        <f>C8/$J$9</f>
        <v>22506.950169104981</v>
      </c>
      <c r="E8" s="541">
        <f>C8*$J$11</f>
        <v>21275.97754350612</v>
      </c>
      <c r="F8" s="541">
        <f>C8+E8</f>
        <v>133254.80671985412</v>
      </c>
      <c r="G8" s="541">
        <f>F8/$J$9</f>
        <v>26783.270701234927</v>
      </c>
      <c r="H8" s="542"/>
      <c r="I8" s="543"/>
      <c r="J8" s="538" t="s">
        <v>221</v>
      </c>
    </row>
    <row r="9" spans="1:12" ht="30" x14ac:dyDescent="0.25">
      <c r="A9" s="544" t="s">
        <v>234</v>
      </c>
      <c r="B9" s="540" t="s">
        <v>235</v>
      </c>
      <c r="C9" s="541">
        <v>162452.84787500001</v>
      </c>
      <c r="D9" s="541">
        <f>C9/$J$9</f>
        <v>32651.869811870645</v>
      </c>
      <c r="E9" s="541">
        <f>C9*$J$11</f>
        <v>30866.041096250003</v>
      </c>
      <c r="F9" s="541">
        <f>C9+E9</f>
        <v>193318.88897125001</v>
      </c>
      <c r="G9" s="541">
        <f>F9/$J$9</f>
        <v>38855.725076126066</v>
      </c>
      <c r="H9" s="542"/>
      <c r="I9" s="543"/>
      <c r="J9" s="545">
        <v>4.9752999999999998</v>
      </c>
      <c r="K9" s="546"/>
      <c r="L9" s="545">
        <v>4.9493</v>
      </c>
    </row>
    <row r="10" spans="1:12" x14ac:dyDescent="0.25">
      <c r="A10" s="544" t="s">
        <v>236</v>
      </c>
      <c r="B10" s="540" t="s">
        <v>237</v>
      </c>
      <c r="C10" s="541">
        <v>0</v>
      </c>
      <c r="D10" s="541">
        <f>C10/$J$9</f>
        <v>0</v>
      </c>
      <c r="E10" s="541">
        <f>C10*$J$11</f>
        <v>0</v>
      </c>
      <c r="F10" s="541">
        <f>C10+E10</f>
        <v>0</v>
      </c>
      <c r="G10" s="541">
        <f>F10/$J$9</f>
        <v>0</v>
      </c>
      <c r="H10" s="542"/>
      <c r="I10" s="543"/>
      <c r="J10" s="538" t="s">
        <v>76</v>
      </c>
    </row>
    <row r="11" spans="1:12" x14ac:dyDescent="0.25">
      <c r="A11" s="657" t="s">
        <v>238</v>
      </c>
      <c r="B11" s="657"/>
      <c r="C11" s="548">
        <f>SUM(C7:C10)</f>
        <v>274431.67705134803</v>
      </c>
      <c r="D11" s="548">
        <f>SUM(D7:D10)</f>
        <v>55158.819980975626</v>
      </c>
      <c r="E11" s="548">
        <f>SUM(E7:E10)</f>
        <v>52142.018639756119</v>
      </c>
      <c r="F11" s="548">
        <f>SUM(F7:F10)</f>
        <v>326573.69569110416</v>
      </c>
      <c r="G11" s="548">
        <f>SUM(G7:G10)</f>
        <v>65638.995777360993</v>
      </c>
      <c r="H11" s="542"/>
      <c r="I11" s="543"/>
      <c r="J11" s="549">
        <v>0.19</v>
      </c>
    </row>
    <row r="12" spans="1:12" x14ac:dyDescent="0.25">
      <c r="A12" s="657" t="s">
        <v>239</v>
      </c>
      <c r="B12" s="657"/>
      <c r="C12" s="657"/>
      <c r="D12" s="657"/>
      <c r="E12" s="657"/>
      <c r="F12" s="657"/>
      <c r="G12" s="657"/>
      <c r="I12" s="543"/>
    </row>
    <row r="13" spans="1:12" ht="28.5" x14ac:dyDescent="0.25">
      <c r="A13" s="547" t="s">
        <v>240</v>
      </c>
      <c r="B13" s="550" t="s">
        <v>241</v>
      </c>
      <c r="C13" s="551">
        <f>0</f>
        <v>0</v>
      </c>
      <c r="D13" s="551">
        <f>C13/$J$9</f>
        <v>0</v>
      </c>
      <c r="E13" s="551">
        <f>C13*$J$11</f>
        <v>0</v>
      </c>
      <c r="F13" s="551">
        <f>C13+E13</f>
        <v>0</v>
      </c>
      <c r="G13" s="551">
        <f>F13/$J$9</f>
        <v>0</v>
      </c>
      <c r="I13" s="543"/>
      <c r="J13" s="543"/>
    </row>
    <row r="14" spans="1:12" ht="15" customHeight="1" x14ac:dyDescent="0.25">
      <c r="A14" s="661" t="s">
        <v>242</v>
      </c>
      <c r="B14" s="661"/>
      <c r="C14" s="551">
        <f>SUM(C13)</f>
        <v>0</v>
      </c>
      <c r="D14" s="551">
        <f>D13</f>
        <v>0</v>
      </c>
      <c r="E14" s="551">
        <f>E13</f>
        <v>0</v>
      </c>
      <c r="F14" s="551">
        <f>F13</f>
        <v>0</v>
      </c>
      <c r="G14" s="551">
        <f>G13</f>
        <v>0</v>
      </c>
      <c r="I14" s="543"/>
    </row>
    <row r="15" spans="1:12" x14ac:dyDescent="0.25">
      <c r="A15" s="657" t="s">
        <v>243</v>
      </c>
      <c r="B15" s="657"/>
      <c r="C15" s="657"/>
      <c r="D15" s="657"/>
      <c r="E15" s="657"/>
      <c r="F15" s="657"/>
      <c r="G15" s="657"/>
      <c r="I15" s="543"/>
    </row>
    <row r="16" spans="1:12" s="553" customFormat="1" x14ac:dyDescent="0.25">
      <c r="A16" s="547" t="s">
        <v>244</v>
      </c>
      <c r="B16" s="550" t="s">
        <v>245</v>
      </c>
      <c r="C16" s="551">
        <f>SUM(C17:C19)</f>
        <v>48027.5</v>
      </c>
      <c r="D16" s="551">
        <f>SUM(D17:D19)</f>
        <v>9653.1867425079909</v>
      </c>
      <c r="E16" s="551">
        <f>SUM(E17:E19)</f>
        <v>9125.2250000000004</v>
      </c>
      <c r="F16" s="551">
        <f>SUM(F17:F19)</f>
        <v>57152.724999999999</v>
      </c>
      <c r="G16" s="551">
        <f>SUM(G17:G19)</f>
        <v>11487.292223584507</v>
      </c>
      <c r="H16" s="552"/>
      <c r="I16" s="543"/>
    </row>
    <row r="17" spans="1:11" s="553" customFormat="1" x14ac:dyDescent="0.25">
      <c r="A17" s="544" t="s">
        <v>246</v>
      </c>
      <c r="B17" s="540" t="s">
        <v>247</v>
      </c>
      <c r="C17" s="541">
        <v>34027.5</v>
      </c>
      <c r="D17" s="541">
        <f t="shared" ref="D17:D22" si="0">C17/$J$9</f>
        <v>6839.2860732016161</v>
      </c>
      <c r="E17" s="541">
        <f t="shared" ref="E17:E22" si="1">C17*$J$11</f>
        <v>6465.2250000000004</v>
      </c>
      <c r="F17" s="541">
        <f t="shared" ref="F17:F39" si="2">C17+E17</f>
        <v>40492.724999999999</v>
      </c>
      <c r="G17" s="541">
        <f t="shared" ref="G17:G22" si="3">F17/$J$9</f>
        <v>8138.7504271099233</v>
      </c>
      <c r="H17" s="552"/>
      <c r="I17" s="543"/>
    </row>
    <row r="18" spans="1:11" s="553" customFormat="1" x14ac:dyDescent="0.25">
      <c r="A18" s="544" t="s">
        <v>248</v>
      </c>
      <c r="B18" s="540" t="s">
        <v>249</v>
      </c>
      <c r="C18" s="541">
        <v>3000</v>
      </c>
      <c r="D18" s="541">
        <f t="shared" si="0"/>
        <v>602.97871485136579</v>
      </c>
      <c r="E18" s="541">
        <f t="shared" si="1"/>
        <v>570</v>
      </c>
      <c r="F18" s="541">
        <f t="shared" si="2"/>
        <v>3570</v>
      </c>
      <c r="G18" s="541">
        <f t="shared" si="3"/>
        <v>717.54467067312521</v>
      </c>
      <c r="H18" s="552"/>
      <c r="I18" s="543"/>
    </row>
    <row r="19" spans="1:11" s="553" customFormat="1" x14ac:dyDescent="0.25">
      <c r="A19" s="544" t="s">
        <v>250</v>
      </c>
      <c r="B19" s="540" t="s">
        <v>594</v>
      </c>
      <c r="C19" s="541">
        <v>11000</v>
      </c>
      <c r="D19" s="541">
        <f t="shared" si="0"/>
        <v>2210.9219544550078</v>
      </c>
      <c r="E19" s="541">
        <f t="shared" si="1"/>
        <v>2090</v>
      </c>
      <c r="F19" s="541">
        <f t="shared" si="2"/>
        <v>13090</v>
      </c>
      <c r="G19" s="541">
        <f t="shared" si="3"/>
        <v>2630.9971258014593</v>
      </c>
      <c r="H19" s="552"/>
      <c r="I19" s="543"/>
    </row>
    <row r="20" spans="1:11" s="553" customFormat="1" ht="28.5" x14ac:dyDescent="0.25">
      <c r="A20" s="547" t="s">
        <v>252</v>
      </c>
      <c r="B20" s="550" t="s">
        <v>253</v>
      </c>
      <c r="C20" s="551">
        <v>23000</v>
      </c>
      <c r="D20" s="551">
        <f t="shared" si="0"/>
        <v>4622.836813860471</v>
      </c>
      <c r="E20" s="551">
        <f t="shared" si="1"/>
        <v>4370</v>
      </c>
      <c r="F20" s="551">
        <f t="shared" si="2"/>
        <v>27370</v>
      </c>
      <c r="G20" s="551">
        <f t="shared" si="3"/>
        <v>5501.1758084939602</v>
      </c>
      <c r="H20" s="552"/>
      <c r="I20" s="543"/>
    </row>
    <row r="21" spans="1:11" x14ac:dyDescent="0.25">
      <c r="A21" s="547" t="s">
        <v>254</v>
      </c>
      <c r="B21" s="550" t="s">
        <v>255</v>
      </c>
      <c r="C21" s="548">
        <v>9000</v>
      </c>
      <c r="D21" s="548">
        <f t="shared" si="0"/>
        <v>1808.9361445540974</v>
      </c>
      <c r="E21" s="548">
        <f t="shared" si="1"/>
        <v>1710</v>
      </c>
      <c r="F21" s="548">
        <f t="shared" si="2"/>
        <v>10710</v>
      </c>
      <c r="G21" s="548">
        <f t="shared" si="3"/>
        <v>2152.6340120193759</v>
      </c>
      <c r="I21" s="543"/>
      <c r="J21" s="554"/>
      <c r="K21" s="553"/>
    </row>
    <row r="22" spans="1:11" ht="35.25" customHeight="1" x14ac:dyDescent="0.25">
      <c r="A22" s="547" t="s">
        <v>256</v>
      </c>
      <c r="B22" s="550" t="s">
        <v>257</v>
      </c>
      <c r="C22" s="551">
        <v>0</v>
      </c>
      <c r="D22" s="551">
        <f t="shared" si="0"/>
        <v>0</v>
      </c>
      <c r="E22" s="551">
        <f t="shared" si="1"/>
        <v>0</v>
      </c>
      <c r="F22" s="551">
        <f t="shared" si="2"/>
        <v>0</v>
      </c>
      <c r="G22" s="551">
        <f t="shared" si="3"/>
        <v>0</v>
      </c>
      <c r="I22" s="543"/>
    </row>
    <row r="23" spans="1:11" x14ac:dyDescent="0.25">
      <c r="A23" s="547" t="s">
        <v>258</v>
      </c>
      <c r="B23" s="550" t="s">
        <v>36</v>
      </c>
      <c r="C23" s="551">
        <f>SUM(C24:C29)</f>
        <v>5073219.0387669876</v>
      </c>
      <c r="D23" s="551">
        <f>SUM(D24:D29)</f>
        <v>1019681.0320517332</v>
      </c>
      <c r="E23" s="551">
        <f>SUM(E24:E29)</f>
        <v>963911.61736572767</v>
      </c>
      <c r="F23" s="551">
        <f>SUM(F24:F29)</f>
        <v>6037130.6561327158</v>
      </c>
      <c r="G23" s="551">
        <f>SUM(G24:G29)</f>
        <v>1213420.4281415625</v>
      </c>
      <c r="I23" s="543"/>
    </row>
    <row r="24" spans="1:11" x14ac:dyDescent="0.25">
      <c r="A24" s="544" t="s">
        <v>259</v>
      </c>
      <c r="B24" s="540" t="s">
        <v>260</v>
      </c>
      <c r="C24" s="541">
        <v>0</v>
      </c>
      <c r="D24" s="541">
        <f t="shared" ref="D24:D30" si="4">C24/$J$9</f>
        <v>0</v>
      </c>
      <c r="E24" s="541">
        <f t="shared" ref="E24:E30" si="5">C24*$J$11</f>
        <v>0</v>
      </c>
      <c r="F24" s="541">
        <f t="shared" si="2"/>
        <v>0</v>
      </c>
      <c r="G24" s="541">
        <f t="shared" ref="G24:G30" si="6">F24/$J$9</f>
        <v>0</v>
      </c>
      <c r="I24" s="543"/>
    </row>
    <row r="25" spans="1:11" s="553" customFormat="1" x14ac:dyDescent="0.25">
      <c r="A25" s="544" t="s">
        <v>261</v>
      </c>
      <c r="B25" s="540" t="s">
        <v>262</v>
      </c>
      <c r="C25" s="541">
        <v>0</v>
      </c>
      <c r="D25" s="541">
        <f t="shared" si="4"/>
        <v>0</v>
      </c>
      <c r="E25" s="541">
        <f t="shared" si="5"/>
        <v>0</v>
      </c>
      <c r="F25" s="541">
        <f t="shared" si="2"/>
        <v>0</v>
      </c>
      <c r="G25" s="541">
        <f t="shared" si="6"/>
        <v>0</v>
      </c>
      <c r="H25" s="552"/>
      <c r="I25" s="543"/>
    </row>
    <row r="26" spans="1:11" ht="30" x14ac:dyDescent="0.25">
      <c r="A26" s="544" t="s">
        <v>263</v>
      </c>
      <c r="B26" s="540" t="s">
        <v>264</v>
      </c>
      <c r="C26" s="541">
        <v>659500</v>
      </c>
      <c r="D26" s="541">
        <f t="shared" si="4"/>
        <v>132554.82081482525</v>
      </c>
      <c r="E26" s="541">
        <f t="shared" si="5"/>
        <v>125305</v>
      </c>
      <c r="F26" s="541">
        <f t="shared" si="2"/>
        <v>784805</v>
      </c>
      <c r="G26" s="541">
        <f t="shared" si="6"/>
        <v>157740.23676964204</v>
      </c>
      <c r="I26" s="543"/>
    </row>
    <row r="27" spans="1:11" ht="30" x14ac:dyDescent="0.25">
      <c r="A27" s="544" t="s">
        <v>265</v>
      </c>
      <c r="B27" s="540" t="s">
        <v>266</v>
      </c>
      <c r="C27" s="541">
        <v>0</v>
      </c>
      <c r="D27" s="541">
        <f t="shared" si="4"/>
        <v>0</v>
      </c>
      <c r="E27" s="541">
        <f t="shared" si="5"/>
        <v>0</v>
      </c>
      <c r="F27" s="541">
        <f t="shared" si="2"/>
        <v>0</v>
      </c>
      <c r="G27" s="541">
        <f t="shared" si="6"/>
        <v>0</v>
      </c>
      <c r="I27" s="543"/>
    </row>
    <row r="28" spans="1:11" ht="30" x14ac:dyDescent="0.25">
      <c r="A28" s="544" t="s">
        <v>267</v>
      </c>
      <c r="B28" s="540" t="s">
        <v>268</v>
      </c>
      <c r="C28" s="541">
        <v>43700.188502643447</v>
      </c>
      <c r="D28" s="541">
        <f t="shared" si="4"/>
        <v>8783.427834028791</v>
      </c>
      <c r="E28" s="541">
        <f t="shared" si="5"/>
        <v>8303.035815502255</v>
      </c>
      <c r="F28" s="541">
        <f t="shared" si="2"/>
        <v>52003.224318145702</v>
      </c>
      <c r="G28" s="541">
        <f t="shared" si="6"/>
        <v>10452.279122494263</v>
      </c>
      <c r="I28" s="543"/>
    </row>
    <row r="29" spans="1:11" x14ac:dyDescent="0.25">
      <c r="A29" s="544" t="s">
        <v>269</v>
      </c>
      <c r="B29" s="540" t="s">
        <v>270</v>
      </c>
      <c r="C29" s="541">
        <v>4370018.8502643444</v>
      </c>
      <c r="D29" s="541">
        <f t="shared" si="4"/>
        <v>878342.78340287914</v>
      </c>
      <c r="E29" s="541">
        <f t="shared" si="5"/>
        <v>830303.58155022538</v>
      </c>
      <c r="F29" s="541">
        <f t="shared" si="2"/>
        <v>5200322.43181457</v>
      </c>
      <c r="G29" s="541">
        <f t="shared" si="6"/>
        <v>1045227.9122494262</v>
      </c>
      <c r="I29" s="543"/>
    </row>
    <row r="30" spans="1:11" s="553" customFormat="1" x14ac:dyDescent="0.25">
      <c r="A30" s="547" t="s">
        <v>271</v>
      </c>
      <c r="B30" s="550" t="s">
        <v>272</v>
      </c>
      <c r="C30" s="551">
        <v>0</v>
      </c>
      <c r="D30" s="551">
        <f t="shared" si="4"/>
        <v>0</v>
      </c>
      <c r="E30" s="551">
        <f t="shared" si="5"/>
        <v>0</v>
      </c>
      <c r="F30" s="551">
        <f t="shared" si="2"/>
        <v>0</v>
      </c>
      <c r="G30" s="551">
        <f t="shared" si="6"/>
        <v>0</v>
      </c>
      <c r="H30" s="552"/>
      <c r="I30" s="543"/>
    </row>
    <row r="31" spans="1:11" s="553" customFormat="1" x14ac:dyDescent="0.25">
      <c r="A31" s="547" t="s">
        <v>273</v>
      </c>
      <c r="B31" s="550" t="s">
        <v>274</v>
      </c>
      <c r="C31" s="551">
        <f>SUM(C32:C33)</f>
        <v>557929.12808101764</v>
      </c>
      <c r="D31" s="551">
        <f>SUM(D32:D33)</f>
        <v>112139.79620947836</v>
      </c>
      <c r="E31" s="551">
        <f>SUM(E32:E33)</f>
        <v>106006.53433539336</v>
      </c>
      <c r="F31" s="551">
        <f>SUM(F32:F33)</f>
        <v>663935.66241641098</v>
      </c>
      <c r="G31" s="551">
        <f>SUM(G32:G33)</f>
        <v>133446.35748927924</v>
      </c>
      <c r="H31" s="552"/>
      <c r="I31" s="543"/>
    </row>
    <row r="32" spans="1:11" s="553" customFormat="1" ht="30" x14ac:dyDescent="0.25">
      <c r="A32" s="544" t="s">
        <v>275</v>
      </c>
      <c r="B32" s="540" t="s">
        <v>276</v>
      </c>
      <c r="C32" s="541">
        <v>532929.12808101764</v>
      </c>
      <c r="D32" s="541">
        <f>C32/$J$9</f>
        <v>107114.97358571697</v>
      </c>
      <c r="E32" s="541">
        <f>C32*$J$11</f>
        <v>101256.53433539336</v>
      </c>
      <c r="F32" s="541">
        <f t="shared" si="2"/>
        <v>634185.66241641098</v>
      </c>
      <c r="G32" s="541">
        <f>F32/$J$9</f>
        <v>127466.8185670032</v>
      </c>
      <c r="H32" s="552"/>
      <c r="I32" s="543"/>
    </row>
    <row r="33" spans="1:10" x14ac:dyDescent="0.25">
      <c r="A33" s="544" t="s">
        <v>277</v>
      </c>
      <c r="B33" s="540" t="s">
        <v>278</v>
      </c>
      <c r="C33" s="541">
        <v>25000</v>
      </c>
      <c r="D33" s="541">
        <f>C33/$J$9</f>
        <v>5024.8226237613817</v>
      </c>
      <c r="E33" s="541">
        <f>C33*$J$11</f>
        <v>4750</v>
      </c>
      <c r="F33" s="541">
        <f t="shared" si="2"/>
        <v>29750</v>
      </c>
      <c r="G33" s="541">
        <f>F33/$J$9</f>
        <v>5979.5389222760441</v>
      </c>
      <c r="I33" s="543"/>
    </row>
    <row r="34" spans="1:10" x14ac:dyDescent="0.25">
      <c r="A34" s="547" t="s">
        <v>281</v>
      </c>
      <c r="B34" s="550" t="s">
        <v>282</v>
      </c>
      <c r="C34" s="551">
        <f>C35+C38+C39</f>
        <v>2579376.9799121255</v>
      </c>
      <c r="D34" s="551">
        <f>D35+D38+D39</f>
        <v>518436.47215487016</v>
      </c>
      <c r="E34" s="551">
        <f>E35+E38+E39</f>
        <v>490081.62618330383</v>
      </c>
      <c r="F34" s="551">
        <f>F35+F38+F39</f>
        <v>3069458.6060954295</v>
      </c>
      <c r="G34" s="551">
        <f>G35+G38+G39</f>
        <v>616939.40186429548</v>
      </c>
      <c r="I34" s="543"/>
    </row>
    <row r="35" spans="1:10" x14ac:dyDescent="0.25">
      <c r="A35" s="544" t="s">
        <v>283</v>
      </c>
      <c r="B35" s="540" t="s">
        <v>284</v>
      </c>
      <c r="C35" s="541">
        <f>SUM(C36:C37)</f>
        <v>255805.98147888848</v>
      </c>
      <c r="D35" s="541">
        <f>SUM(D36:D37)</f>
        <v>51415.187321144149</v>
      </c>
      <c r="E35" s="541">
        <f>SUM(E36:E37)</f>
        <v>48603.136480988818</v>
      </c>
      <c r="F35" s="541">
        <f>SUM(F36:F37)</f>
        <v>304409.1179598773</v>
      </c>
      <c r="G35" s="541">
        <f>SUM(G36:G37)</f>
        <v>61184.072912161544</v>
      </c>
      <c r="I35" s="543"/>
      <c r="J35" s="555"/>
    </row>
    <row r="36" spans="1:10" x14ac:dyDescent="0.25">
      <c r="A36" s="544" t="s">
        <v>285</v>
      </c>
      <c r="B36" s="540" t="s">
        <v>286</v>
      </c>
      <c r="C36" s="541">
        <v>213171.65123240708</v>
      </c>
      <c r="D36" s="541">
        <f>C36/$J$9</f>
        <v>42845.989434286792</v>
      </c>
      <c r="E36" s="541">
        <f>C36*$J$11</f>
        <v>40502.613734157349</v>
      </c>
      <c r="F36" s="541">
        <f t="shared" si="2"/>
        <v>253674.26496656443</v>
      </c>
      <c r="G36" s="541">
        <f>F36/$J$9</f>
        <v>50986.727426801284</v>
      </c>
      <c r="I36" s="543"/>
      <c r="J36" s="555"/>
    </row>
    <row r="37" spans="1:10" ht="45" x14ac:dyDescent="0.25">
      <c r="A37" s="544" t="s">
        <v>287</v>
      </c>
      <c r="B37" s="540" t="s">
        <v>288</v>
      </c>
      <c r="C37" s="541">
        <v>42634.330246481411</v>
      </c>
      <c r="D37" s="541">
        <f>C37/$J$9</f>
        <v>8569.1978868573588</v>
      </c>
      <c r="E37" s="541">
        <f>C37*$J$11</f>
        <v>8100.5227468314679</v>
      </c>
      <c r="F37" s="541">
        <f t="shared" si="2"/>
        <v>50734.852993312881</v>
      </c>
      <c r="G37" s="541">
        <f>F37/$J$9</f>
        <v>10197.345485360256</v>
      </c>
      <c r="I37" s="543"/>
      <c r="J37" s="555"/>
    </row>
    <row r="38" spans="1:10" x14ac:dyDescent="0.25">
      <c r="A38" s="544" t="s">
        <v>289</v>
      </c>
      <c r="B38" s="540" t="s">
        <v>290</v>
      </c>
      <c r="C38" s="541">
        <v>2131716.5123240706</v>
      </c>
      <c r="D38" s="541">
        <f>C38/$J$9</f>
        <v>428459.89434286789</v>
      </c>
      <c r="E38" s="541">
        <f>C38*$J$11</f>
        <v>405026.13734157343</v>
      </c>
      <c r="F38" s="541">
        <f t="shared" si="2"/>
        <v>2536742.6496656439</v>
      </c>
      <c r="G38" s="541">
        <f>F38/$J$9</f>
        <v>509867.27426801278</v>
      </c>
      <c r="I38" s="556">
        <f>C38/C61</f>
        <v>0.01</v>
      </c>
      <c r="J38" s="557">
        <f>I38*100</f>
        <v>1</v>
      </c>
    </row>
    <row r="39" spans="1:10" ht="45" x14ac:dyDescent="0.25">
      <c r="A39" s="544" t="s">
        <v>291</v>
      </c>
      <c r="B39" s="540" t="s">
        <v>595</v>
      </c>
      <c r="C39" s="541">
        <f>0.09%*C61</f>
        <v>191854.48610916635</v>
      </c>
      <c r="D39" s="541">
        <f>C39/$J$9</f>
        <v>38561.39049085811</v>
      </c>
      <c r="E39" s="541">
        <f>C39*$J$11</f>
        <v>36452.352360741606</v>
      </c>
      <c r="F39" s="541">
        <f t="shared" si="2"/>
        <v>228306.83846990796</v>
      </c>
      <c r="G39" s="541">
        <f>F39/$J$9</f>
        <v>45888.054684121154</v>
      </c>
      <c r="I39" s="543"/>
    </row>
    <row r="40" spans="1:10" x14ac:dyDescent="0.25">
      <c r="A40" s="657" t="s">
        <v>293</v>
      </c>
      <c r="B40" s="657"/>
      <c r="C40" s="551">
        <f>C16+C20+C21+C22+C23+C30+C31+C34</f>
        <v>8290552.6467601312</v>
      </c>
      <c r="D40" s="551">
        <f>D16+D20+D21+D22+D23+D30+D31+D34</f>
        <v>1666342.2601170044</v>
      </c>
      <c r="E40" s="551">
        <f>E16+E20+E21+E22+E23+E30+E31+E34</f>
        <v>1575205.0028844248</v>
      </c>
      <c r="F40" s="551">
        <f>F16+F20+F21+F22+F23+F30+F31+F34</f>
        <v>9865757.6496445555</v>
      </c>
      <c r="G40" s="551">
        <f>G16+G20+G21+G22+G23+G30+G31+G34</f>
        <v>1982947.2895392352</v>
      </c>
      <c r="I40" s="543"/>
    </row>
    <row r="41" spans="1:10" x14ac:dyDescent="0.25">
      <c r="A41" s="657" t="s">
        <v>294</v>
      </c>
      <c r="B41" s="657"/>
      <c r="C41" s="657"/>
      <c r="D41" s="657"/>
      <c r="E41" s="657"/>
      <c r="F41" s="657"/>
      <c r="G41" s="657"/>
      <c r="I41" s="543"/>
    </row>
    <row r="42" spans="1:10" s="553" customFormat="1" x14ac:dyDescent="0.25">
      <c r="A42" s="547" t="s">
        <v>295</v>
      </c>
      <c r="B42" s="558" t="s">
        <v>296</v>
      </c>
      <c r="C42" s="551">
        <f>SUM(C43:C55)</f>
        <v>194064079.91128653</v>
      </c>
      <c r="D42" s="551">
        <f>SUM(D43:D55)</f>
        <v>39005503.167906776</v>
      </c>
      <c r="E42" s="551">
        <f>SUM(E43:E55)</f>
        <v>36872175.183144443</v>
      </c>
      <c r="F42" s="551">
        <f>SUM(F43:F55)</f>
        <v>230936255.09443095</v>
      </c>
      <c r="G42" s="551">
        <f>SUM(G43:G55)</f>
        <v>46416548.769809052</v>
      </c>
      <c r="H42" s="552"/>
      <c r="I42" s="543"/>
    </row>
    <row r="43" spans="1:10" s="553" customFormat="1" ht="30" x14ac:dyDescent="0.25">
      <c r="A43" s="544" t="s">
        <v>297</v>
      </c>
      <c r="B43" s="540" t="s">
        <v>596</v>
      </c>
      <c r="C43" s="541">
        <v>122599417.58349502</v>
      </c>
      <c r="D43" s="541">
        <f t="shared" ref="D43:D60" si="7">C43/$J$9</f>
        <v>24641613.085340589</v>
      </c>
      <c r="E43" s="541">
        <f t="shared" ref="E43:E60" si="8">C43*$J$11</f>
        <v>23293889.340864055</v>
      </c>
      <c r="F43" s="541">
        <f t="shared" ref="F43:F60" si="9">C43+E43</f>
        <v>145893306.92435908</v>
      </c>
      <c r="G43" s="541">
        <f t="shared" ref="G43:G60" si="10">F43/$J$9</f>
        <v>29323519.571555302</v>
      </c>
      <c r="H43" s="552"/>
      <c r="I43" s="543"/>
      <c r="J43" s="559">
        <f>I43/J9</f>
        <v>0</v>
      </c>
    </row>
    <row r="44" spans="1:10" s="553" customFormat="1" x14ac:dyDescent="0.25">
      <c r="A44" s="544" t="s">
        <v>299</v>
      </c>
      <c r="B44" s="540" t="s">
        <v>597</v>
      </c>
      <c r="C44" s="541">
        <v>3620648.8100352515</v>
      </c>
      <c r="D44" s="541">
        <f t="shared" si="7"/>
        <v>727724.72213439422</v>
      </c>
      <c r="E44" s="541">
        <f t="shared" si="8"/>
        <v>687923.27390669775</v>
      </c>
      <c r="F44" s="541">
        <f t="shared" si="9"/>
        <v>4308572.0839419495</v>
      </c>
      <c r="G44" s="541">
        <f t="shared" si="10"/>
        <v>865992.41933992924</v>
      </c>
      <c r="H44" s="552"/>
      <c r="I44" s="543"/>
    </row>
    <row r="45" spans="1:10" s="553" customFormat="1" x14ac:dyDescent="0.25">
      <c r="A45" s="544" t="s">
        <v>301</v>
      </c>
      <c r="B45" s="540" t="s">
        <v>598</v>
      </c>
      <c r="C45" s="541">
        <v>3418723.7881336012</v>
      </c>
      <c r="D45" s="541">
        <f t="shared" si="7"/>
        <v>687139.2254001972</v>
      </c>
      <c r="E45" s="541">
        <f t="shared" si="8"/>
        <v>649557.51974538423</v>
      </c>
      <c r="F45" s="541">
        <f t="shared" si="9"/>
        <v>4068281.3078789855</v>
      </c>
      <c r="G45" s="541">
        <f t="shared" si="10"/>
        <v>817695.67822623474</v>
      </c>
      <c r="H45" s="552"/>
      <c r="I45" s="543"/>
    </row>
    <row r="46" spans="1:10" s="553" customFormat="1" x14ac:dyDescent="0.25">
      <c r="A46" s="544" t="s">
        <v>303</v>
      </c>
      <c r="B46" s="540" t="s">
        <v>599</v>
      </c>
      <c r="C46" s="541">
        <v>15915629.239905851</v>
      </c>
      <c r="D46" s="541">
        <f t="shared" si="7"/>
        <v>3198928.5550430831</v>
      </c>
      <c r="E46" s="541">
        <f t="shared" si="8"/>
        <v>3023969.5555821117</v>
      </c>
      <c r="F46" s="541">
        <f t="shared" si="9"/>
        <v>18939598.795487963</v>
      </c>
      <c r="G46" s="541">
        <f t="shared" si="10"/>
        <v>3806724.980501269</v>
      </c>
      <c r="H46" s="552"/>
      <c r="I46" s="543"/>
    </row>
    <row r="47" spans="1:10" s="553" customFormat="1" x14ac:dyDescent="0.25">
      <c r="A47" s="544" t="s">
        <v>305</v>
      </c>
      <c r="B47" s="540" t="s">
        <v>600</v>
      </c>
      <c r="C47" s="541">
        <v>5232337.5839721011</v>
      </c>
      <c r="D47" s="541">
        <f t="shared" si="7"/>
        <v>1051662.7306839991</v>
      </c>
      <c r="E47" s="541">
        <f t="shared" si="8"/>
        <v>994144.14095469925</v>
      </c>
      <c r="F47" s="541">
        <f t="shared" si="9"/>
        <v>6226481.7249268005</v>
      </c>
      <c r="G47" s="541">
        <f t="shared" si="10"/>
        <v>1251478.6495139592</v>
      </c>
      <c r="H47" s="552"/>
      <c r="I47" s="543"/>
    </row>
    <row r="48" spans="1:10" s="553" customFormat="1" x14ac:dyDescent="0.25">
      <c r="A48" s="544" t="s">
        <v>601</v>
      </c>
      <c r="B48" s="540" t="s">
        <v>602</v>
      </c>
      <c r="C48" s="541">
        <v>987259.88524499978</v>
      </c>
      <c r="D48" s="541">
        <f t="shared" si="7"/>
        <v>198432.2322764456</v>
      </c>
      <c r="E48" s="541">
        <f t="shared" si="8"/>
        <v>187579.37819654995</v>
      </c>
      <c r="F48" s="541">
        <f t="shared" si="9"/>
        <v>1174839.2634415496</v>
      </c>
      <c r="G48" s="541">
        <f t="shared" si="10"/>
        <v>236134.35640897026</v>
      </c>
      <c r="H48" s="552"/>
      <c r="I48" s="543"/>
    </row>
    <row r="49" spans="1:9" s="553" customFormat="1" x14ac:dyDescent="0.25">
      <c r="A49" s="544" t="s">
        <v>603</v>
      </c>
      <c r="B49" s="540" t="s">
        <v>604</v>
      </c>
      <c r="C49" s="541">
        <v>3184994.7170999995</v>
      </c>
      <c r="D49" s="541">
        <f t="shared" si="7"/>
        <v>640161.34044178238</v>
      </c>
      <c r="E49" s="541">
        <f t="shared" si="8"/>
        <v>605148.99624899996</v>
      </c>
      <c r="F49" s="541">
        <f t="shared" si="9"/>
        <v>3790143.7133489996</v>
      </c>
      <c r="G49" s="541">
        <f t="shared" si="10"/>
        <v>761791.99512572098</v>
      </c>
      <c r="H49" s="552"/>
      <c r="I49" s="543"/>
    </row>
    <row r="50" spans="1:9" s="553" customFormat="1" x14ac:dyDescent="0.25">
      <c r="A50" s="544" t="s">
        <v>605</v>
      </c>
      <c r="B50" s="540" t="s">
        <v>606</v>
      </c>
      <c r="C50" s="541">
        <v>12739978.868399998</v>
      </c>
      <c r="D50" s="541">
        <f t="shared" si="7"/>
        <v>2560645.3617671295</v>
      </c>
      <c r="E50" s="541">
        <f t="shared" si="8"/>
        <v>2420595.9849959998</v>
      </c>
      <c r="F50" s="541">
        <f t="shared" si="9"/>
        <v>15160574.853395998</v>
      </c>
      <c r="G50" s="541">
        <f t="shared" si="10"/>
        <v>3047167.9805028839</v>
      </c>
      <c r="H50" s="552"/>
      <c r="I50" s="543"/>
    </row>
    <row r="51" spans="1:9" s="553" customFormat="1" x14ac:dyDescent="0.25">
      <c r="A51" s="544" t="s">
        <v>607</v>
      </c>
      <c r="B51" s="540" t="s">
        <v>608</v>
      </c>
      <c r="C51" s="541">
        <v>8951990.8230000027</v>
      </c>
      <c r="D51" s="541">
        <f t="shared" si="7"/>
        <v>1799286.6406045873</v>
      </c>
      <c r="E51" s="541">
        <f t="shared" si="8"/>
        <v>1700878.2563700005</v>
      </c>
      <c r="F51" s="541">
        <f t="shared" si="9"/>
        <v>10652869.079370003</v>
      </c>
      <c r="G51" s="541">
        <f t="shared" si="10"/>
        <v>2141151.102319459</v>
      </c>
      <c r="H51" s="552"/>
      <c r="I51" s="543"/>
    </row>
    <row r="52" spans="1:9" s="553" customFormat="1" x14ac:dyDescent="0.25">
      <c r="A52" s="544" t="s">
        <v>609</v>
      </c>
      <c r="B52" s="540" t="s">
        <v>610</v>
      </c>
      <c r="C52" s="541">
        <v>6242995.7735103983</v>
      </c>
      <c r="D52" s="541">
        <f t="shared" si="7"/>
        <v>1254797.8561112694</v>
      </c>
      <c r="E52" s="541">
        <f t="shared" si="8"/>
        <v>1186169.1969669757</v>
      </c>
      <c r="F52" s="541">
        <f t="shared" si="9"/>
        <v>7429164.9704773743</v>
      </c>
      <c r="G52" s="541">
        <f t="shared" si="10"/>
        <v>1493209.4487724106</v>
      </c>
      <c r="H52" s="552"/>
      <c r="I52" s="543"/>
    </row>
    <row r="53" spans="1:9" s="553" customFormat="1" ht="30" x14ac:dyDescent="0.25">
      <c r="A53" s="544" t="s">
        <v>611</v>
      </c>
      <c r="B53" s="540" t="s">
        <v>612</v>
      </c>
      <c r="C53" s="541">
        <v>4502384.09375</v>
      </c>
      <c r="D53" s="541">
        <f t="shared" si="7"/>
        <v>904947.25820553536</v>
      </c>
      <c r="E53" s="541">
        <f t="shared" si="8"/>
        <v>855452.97781249997</v>
      </c>
      <c r="F53" s="541">
        <f t="shared" si="9"/>
        <v>5357837.0715624997</v>
      </c>
      <c r="G53" s="541">
        <f t="shared" si="10"/>
        <v>1076887.2372645871</v>
      </c>
      <c r="H53" s="552"/>
      <c r="I53" s="543"/>
    </row>
    <row r="54" spans="1:9" s="553" customFormat="1" x14ac:dyDescent="0.25">
      <c r="A54" s="544" t="s">
        <v>613</v>
      </c>
      <c r="B54" s="540" t="s">
        <v>614</v>
      </c>
      <c r="C54" s="541">
        <v>394193.61534986575</v>
      </c>
      <c r="D54" s="541">
        <f t="shared" si="7"/>
        <v>79230.119862091888</v>
      </c>
      <c r="E54" s="541">
        <f t="shared" si="8"/>
        <v>74896.786916474492</v>
      </c>
      <c r="F54" s="541">
        <f t="shared" si="9"/>
        <v>469090.40226634021</v>
      </c>
      <c r="G54" s="541">
        <f t="shared" si="10"/>
        <v>94283.842635889334</v>
      </c>
      <c r="H54" s="552"/>
      <c r="I54" s="543"/>
    </row>
    <row r="55" spans="1:9" s="553" customFormat="1" ht="30" x14ac:dyDescent="0.25">
      <c r="A55" s="544" t="s">
        <v>615</v>
      </c>
      <c r="B55" s="540" t="s">
        <v>616</v>
      </c>
      <c r="C55" s="541">
        <v>6273525.1293894406</v>
      </c>
      <c r="D55" s="541">
        <f t="shared" si="7"/>
        <v>1260934.0400356643</v>
      </c>
      <c r="E55" s="541">
        <f t="shared" si="8"/>
        <v>1191969.7745839937</v>
      </c>
      <c r="F55" s="541">
        <f t="shared" si="9"/>
        <v>7465494.9039734341</v>
      </c>
      <c r="G55" s="541">
        <f t="shared" si="10"/>
        <v>1500511.5076424405</v>
      </c>
      <c r="H55" s="552"/>
      <c r="I55" s="543"/>
    </row>
    <row r="56" spans="1:9" ht="39" customHeight="1" x14ac:dyDescent="0.25">
      <c r="A56" s="547" t="s">
        <v>307</v>
      </c>
      <c r="B56" s="550" t="s">
        <v>617</v>
      </c>
      <c r="C56" s="551">
        <v>2944160.2122845408</v>
      </c>
      <c r="D56" s="551">
        <f t="shared" si="7"/>
        <v>591755.31370661885</v>
      </c>
      <c r="E56" s="551">
        <f t="shared" si="8"/>
        <v>559390.44033406279</v>
      </c>
      <c r="F56" s="551">
        <f t="shared" si="9"/>
        <v>3503550.6526186038</v>
      </c>
      <c r="G56" s="551">
        <f t="shared" si="10"/>
        <v>704188.8233108765</v>
      </c>
      <c r="I56" s="543"/>
    </row>
    <row r="57" spans="1:9" ht="42.75" x14ac:dyDescent="0.25">
      <c r="A57" s="547" t="s">
        <v>309</v>
      </c>
      <c r="B57" s="550" t="s">
        <v>618</v>
      </c>
      <c r="C57" s="551">
        <v>16108311.108835999</v>
      </c>
      <c r="D57" s="551">
        <f t="shared" si="7"/>
        <v>3237656.2436106363</v>
      </c>
      <c r="E57" s="551">
        <f t="shared" si="8"/>
        <v>3060579.11067884</v>
      </c>
      <c r="F57" s="551">
        <f t="shared" si="9"/>
        <v>19168890.219514839</v>
      </c>
      <c r="G57" s="551">
        <f t="shared" si="10"/>
        <v>3852810.9298966574</v>
      </c>
      <c r="I57" s="543"/>
    </row>
    <row r="58" spans="1:9" ht="42.75" x14ac:dyDescent="0.25">
      <c r="A58" s="547" t="s">
        <v>311</v>
      </c>
      <c r="B58" s="550" t="s">
        <v>312</v>
      </c>
      <c r="C58" s="551">
        <v>0</v>
      </c>
      <c r="D58" s="551">
        <f t="shared" si="7"/>
        <v>0</v>
      </c>
      <c r="E58" s="551">
        <f t="shared" si="8"/>
        <v>0</v>
      </c>
      <c r="F58" s="551">
        <f t="shared" si="9"/>
        <v>0</v>
      </c>
      <c r="G58" s="551">
        <f t="shared" si="10"/>
        <v>0</v>
      </c>
      <c r="I58" s="543"/>
    </row>
    <row r="59" spans="1:9" x14ac:dyDescent="0.25">
      <c r="A59" s="547" t="s">
        <v>313</v>
      </c>
      <c r="B59" s="550" t="s">
        <v>314</v>
      </c>
      <c r="C59" s="551">
        <v>55100</v>
      </c>
      <c r="D59" s="551">
        <f t="shared" si="7"/>
        <v>11074.709062770085</v>
      </c>
      <c r="E59" s="551">
        <f t="shared" si="8"/>
        <v>10469</v>
      </c>
      <c r="F59" s="551">
        <f t="shared" si="9"/>
        <v>65569</v>
      </c>
      <c r="G59" s="551">
        <f t="shared" si="10"/>
        <v>13178.9037846964</v>
      </c>
      <c r="I59" s="543"/>
    </row>
    <row r="60" spans="1:9" x14ac:dyDescent="0.25">
      <c r="A60" s="547" t="s">
        <v>315</v>
      </c>
      <c r="B60" s="550" t="s">
        <v>55</v>
      </c>
      <c r="C60" s="551">
        <v>0</v>
      </c>
      <c r="D60" s="551">
        <f t="shared" si="7"/>
        <v>0</v>
      </c>
      <c r="E60" s="551">
        <f t="shared" si="8"/>
        <v>0</v>
      </c>
      <c r="F60" s="551">
        <f t="shared" si="9"/>
        <v>0</v>
      </c>
      <c r="G60" s="551">
        <f t="shared" si="10"/>
        <v>0</v>
      </c>
      <c r="I60" s="543"/>
    </row>
    <row r="61" spans="1:9" s="553" customFormat="1" x14ac:dyDescent="0.25">
      <c r="A61" s="657" t="s">
        <v>316</v>
      </c>
      <c r="B61" s="657"/>
      <c r="C61" s="551">
        <f>C42+C56+C57+C58+C59+C60</f>
        <v>213171651.23240706</v>
      </c>
      <c r="D61" s="551">
        <f>D42+D56+D57+D58+D59+D60</f>
        <v>42845989.434286803</v>
      </c>
      <c r="E61" s="551">
        <f>E42+E56+E57+E58+E59+E60</f>
        <v>40502613.734157339</v>
      </c>
      <c r="F61" s="551">
        <f>F42+F56+F57+F58+F59+F60</f>
        <v>253674264.96656442</v>
      </c>
      <c r="G61" s="551">
        <f>G42+G56+G57+G58+G59+G60</f>
        <v>50986727.426801287</v>
      </c>
      <c r="H61" s="552"/>
      <c r="I61" s="543"/>
    </row>
    <row r="62" spans="1:9" x14ac:dyDescent="0.25">
      <c r="A62" s="657" t="s">
        <v>317</v>
      </c>
      <c r="B62" s="657"/>
      <c r="C62" s="657"/>
      <c r="D62" s="657"/>
      <c r="E62" s="657"/>
      <c r="F62" s="657"/>
      <c r="G62" s="657"/>
      <c r="I62" s="543"/>
    </row>
    <row r="63" spans="1:9" s="561" customFormat="1" x14ac:dyDescent="0.25">
      <c r="A63" s="547" t="s">
        <v>318</v>
      </c>
      <c r="B63" s="550" t="s">
        <v>319</v>
      </c>
      <c r="C63" s="551">
        <f>SUM(C64:C65)</f>
        <v>2018266.43107738</v>
      </c>
      <c r="D63" s="551">
        <f>SUM(D64:D65)</f>
        <v>405657.23294623039</v>
      </c>
      <c r="E63" s="551">
        <f>SUM(E64:E65)</f>
        <v>383470.62190470216</v>
      </c>
      <c r="F63" s="551">
        <f>SUM(F64:F65)</f>
        <v>2401737.0529820821</v>
      </c>
      <c r="G63" s="551">
        <f>SUM(G64:G65)</f>
        <v>482732.10720601422</v>
      </c>
      <c r="H63" s="560"/>
      <c r="I63" s="543"/>
    </row>
    <row r="64" spans="1:9" s="553" customFormat="1" ht="30" x14ac:dyDescent="0.25">
      <c r="A64" s="544" t="s">
        <v>320</v>
      </c>
      <c r="B64" s="540" t="s">
        <v>321</v>
      </c>
      <c r="C64" s="541">
        <v>1552512.6392902923</v>
      </c>
      <c r="D64" s="541">
        <f>C64/$J$9</f>
        <v>312044.02534325415</v>
      </c>
      <c r="E64" s="541">
        <f>C64*$J$11</f>
        <v>294977.40146515553</v>
      </c>
      <c r="F64" s="541">
        <f t="shared" ref="F64:F73" si="11">C64+E64</f>
        <v>1847490.0407554479</v>
      </c>
      <c r="G64" s="541">
        <f>F64/$J$9</f>
        <v>371332.39015847247</v>
      </c>
      <c r="H64" s="552"/>
      <c r="I64" s="543"/>
    </row>
    <row r="65" spans="1:9" s="553" customFormat="1" x14ac:dyDescent="0.25">
      <c r="A65" s="544" t="s">
        <v>322</v>
      </c>
      <c r="B65" s="540" t="s">
        <v>323</v>
      </c>
      <c r="C65" s="541">
        <v>465753.79178708768</v>
      </c>
      <c r="D65" s="541">
        <f>C65/$J$9</f>
        <v>93613.207602976239</v>
      </c>
      <c r="E65" s="541">
        <f>C65*$J$11</f>
        <v>88493.220439546654</v>
      </c>
      <c r="F65" s="541">
        <f t="shared" si="11"/>
        <v>554247.01222663431</v>
      </c>
      <c r="G65" s="541">
        <f>F65/$J$9</f>
        <v>111399.71704754172</v>
      </c>
      <c r="H65" s="552"/>
      <c r="I65" s="543"/>
    </row>
    <row r="66" spans="1:9" s="561" customFormat="1" ht="24.75" customHeight="1" x14ac:dyDescent="0.25">
      <c r="A66" s="547" t="s">
        <v>324</v>
      </c>
      <c r="B66" s="550" t="s">
        <v>325</v>
      </c>
      <c r="C66" s="551">
        <f>SUM(C67:C71)</f>
        <v>2217187.0288390396</v>
      </c>
      <c r="D66" s="551">
        <f>SUM(D67:D71)</f>
        <v>445638.86174482742</v>
      </c>
      <c r="E66" s="551">
        <f>SUM(E67:E71)</f>
        <v>5700</v>
      </c>
      <c r="F66" s="551">
        <f>SUM(F67:F71)</f>
        <v>2222887.0288390396</v>
      </c>
      <c r="G66" s="551">
        <f>SUM(G67:G71)</f>
        <v>446784.52130304504</v>
      </c>
      <c r="H66" s="560"/>
      <c r="I66" s="543"/>
    </row>
    <row r="67" spans="1:9" ht="30" x14ac:dyDescent="0.25">
      <c r="A67" s="544" t="s">
        <v>326</v>
      </c>
      <c r="B67" s="540" t="s">
        <v>327</v>
      </c>
      <c r="C67" s="541">
        <v>0</v>
      </c>
      <c r="D67" s="541">
        <f t="shared" ref="D67:D73" si="12">C67/$J$9</f>
        <v>0</v>
      </c>
      <c r="E67" s="541">
        <f>C67*$J$11</f>
        <v>0</v>
      </c>
      <c r="F67" s="541">
        <f t="shared" si="11"/>
        <v>0</v>
      </c>
      <c r="G67" s="541">
        <f t="shared" ref="G67:G73" si="13">F67/$J$9</f>
        <v>0</v>
      </c>
      <c r="I67" s="543"/>
    </row>
    <row r="68" spans="1:9" ht="30" x14ac:dyDescent="0.25">
      <c r="A68" s="544" t="s">
        <v>328</v>
      </c>
      <c r="B68" s="540" t="s">
        <v>329</v>
      </c>
      <c r="C68" s="541">
        <f>0.5%*C84</f>
        <v>994175.92219956359</v>
      </c>
      <c r="D68" s="541">
        <f t="shared" si="12"/>
        <v>199822.30663468808</v>
      </c>
      <c r="E68" s="541">
        <v>0</v>
      </c>
      <c r="F68" s="541">
        <f t="shared" si="11"/>
        <v>994175.92219956359</v>
      </c>
      <c r="G68" s="541">
        <f t="shared" si="13"/>
        <v>199822.30663468808</v>
      </c>
      <c r="I68" s="543"/>
    </row>
    <row r="69" spans="1:9" ht="45" x14ac:dyDescent="0.25">
      <c r="A69" s="544" t="s">
        <v>330</v>
      </c>
      <c r="B69" s="540" t="s">
        <v>331</v>
      </c>
      <c r="C69" s="541">
        <f>0.1%*C84</f>
        <v>198835.1844399127</v>
      </c>
      <c r="D69" s="541">
        <f t="shared" si="12"/>
        <v>39964.461326937613</v>
      </c>
      <c r="E69" s="541">
        <v>0</v>
      </c>
      <c r="F69" s="541">
        <f t="shared" si="11"/>
        <v>198835.1844399127</v>
      </c>
      <c r="G69" s="541">
        <f t="shared" si="13"/>
        <v>39964.461326937613</v>
      </c>
      <c r="I69" s="543"/>
    </row>
    <row r="70" spans="1:9" x14ac:dyDescent="0.25">
      <c r="A70" s="544" t="s">
        <v>332</v>
      </c>
      <c r="B70" s="540" t="s">
        <v>333</v>
      </c>
      <c r="C70" s="541">
        <f>0.5%*C84</f>
        <v>994175.92219956359</v>
      </c>
      <c r="D70" s="541">
        <f t="shared" si="12"/>
        <v>199822.30663468808</v>
      </c>
      <c r="E70" s="541">
        <v>0</v>
      </c>
      <c r="F70" s="541">
        <f t="shared" si="11"/>
        <v>994175.92219956359</v>
      </c>
      <c r="G70" s="541">
        <f t="shared" si="13"/>
        <v>199822.30663468808</v>
      </c>
      <c r="I70" s="543"/>
    </row>
    <row r="71" spans="1:9" ht="30" x14ac:dyDescent="0.25">
      <c r="A71" s="544" t="s">
        <v>334</v>
      </c>
      <c r="B71" s="540" t="s">
        <v>335</v>
      </c>
      <c r="C71" s="541">
        <f>15*2000</f>
        <v>30000</v>
      </c>
      <c r="D71" s="541">
        <f t="shared" si="12"/>
        <v>6029.7871485136575</v>
      </c>
      <c r="E71" s="541">
        <f>C71*$J$11</f>
        <v>5700</v>
      </c>
      <c r="F71" s="541">
        <f t="shared" si="11"/>
        <v>35700</v>
      </c>
      <c r="G71" s="541">
        <f t="shared" si="13"/>
        <v>7175.4467067312526</v>
      </c>
      <c r="I71" s="543"/>
    </row>
    <row r="72" spans="1:9" s="563" customFormat="1" x14ac:dyDescent="0.25">
      <c r="A72" s="547" t="s">
        <v>336</v>
      </c>
      <c r="B72" s="550" t="s">
        <v>337</v>
      </c>
      <c r="C72" s="551">
        <f>3%*(C8+C9+C10+C14+C23+C34+C61)</f>
        <v>6632960.3678441253</v>
      </c>
      <c r="D72" s="551">
        <f t="shared" si="12"/>
        <v>1333177.972754231</v>
      </c>
      <c r="E72" s="551">
        <f>C72*$J$11</f>
        <v>1260262.4698903838</v>
      </c>
      <c r="F72" s="551">
        <f t="shared" si="11"/>
        <v>7893222.8377345093</v>
      </c>
      <c r="G72" s="551">
        <f t="shared" si="13"/>
        <v>1586481.787577535</v>
      </c>
      <c r="H72" s="562"/>
      <c r="I72" s="543"/>
    </row>
    <row r="73" spans="1:9" s="563" customFormat="1" x14ac:dyDescent="0.25">
      <c r="A73" s="547" t="s">
        <v>338</v>
      </c>
      <c r="B73" s="550" t="s">
        <v>339</v>
      </c>
      <c r="C73" s="551">
        <v>173535</v>
      </c>
      <c r="D73" s="551">
        <f t="shared" si="12"/>
        <v>34879.303760577255</v>
      </c>
      <c r="E73" s="551">
        <f>C73*$J$11</f>
        <v>32971.65</v>
      </c>
      <c r="F73" s="551">
        <f t="shared" si="11"/>
        <v>206506.65</v>
      </c>
      <c r="G73" s="551">
        <f t="shared" si="13"/>
        <v>41506.371475086933</v>
      </c>
      <c r="H73" s="562"/>
      <c r="I73" s="543"/>
    </row>
    <row r="74" spans="1:9" x14ac:dyDescent="0.25">
      <c r="A74" s="657" t="s">
        <v>340</v>
      </c>
      <c r="B74" s="657"/>
      <c r="C74" s="551">
        <f>C63+C66+C72+C73</f>
        <v>11041948.827760544</v>
      </c>
      <c r="D74" s="551">
        <f>D63+D66+D72+D73</f>
        <v>2219353.3712058663</v>
      </c>
      <c r="E74" s="551">
        <f>E63+E66+E72+E73</f>
        <v>1682404.7417950858</v>
      </c>
      <c r="F74" s="551">
        <f>F63+F66+F72+F73</f>
        <v>12724353.569555631</v>
      </c>
      <c r="G74" s="551">
        <f>G63+G66+G72+G73</f>
        <v>2557504.7875616816</v>
      </c>
      <c r="I74" s="543"/>
    </row>
    <row r="75" spans="1:9" x14ac:dyDescent="0.25">
      <c r="A75" s="657" t="s">
        <v>341</v>
      </c>
      <c r="B75" s="657"/>
      <c r="C75" s="657"/>
      <c r="D75" s="657"/>
      <c r="E75" s="657"/>
      <c r="F75" s="657"/>
      <c r="G75" s="657"/>
      <c r="I75" s="543"/>
    </row>
    <row r="76" spans="1:9" s="563" customFormat="1" x14ac:dyDescent="0.25">
      <c r="A76" s="547" t="s">
        <v>342</v>
      </c>
      <c r="B76" s="550" t="s">
        <v>343</v>
      </c>
      <c r="C76" s="551">
        <v>0</v>
      </c>
      <c r="D76" s="551">
        <f>C76/$J$9</f>
        <v>0</v>
      </c>
      <c r="E76" s="551">
        <f>C76*$J$11</f>
        <v>0</v>
      </c>
      <c r="F76" s="551">
        <f>C76+E76</f>
        <v>0</v>
      </c>
      <c r="G76" s="551">
        <f>F76/$J$9</f>
        <v>0</v>
      </c>
      <c r="H76" s="562"/>
      <c r="I76" s="543"/>
    </row>
    <row r="77" spans="1:9" s="563" customFormat="1" x14ac:dyDescent="0.25">
      <c r="A77" s="547" t="s">
        <v>344</v>
      </c>
      <c r="B77" s="564" t="s">
        <v>345</v>
      </c>
      <c r="C77" s="551">
        <v>194064.07991128654</v>
      </c>
      <c r="D77" s="551">
        <f>C77/$J$9</f>
        <v>39005.503167906769</v>
      </c>
      <c r="E77" s="551">
        <f>C77*$J$11</f>
        <v>36872.175183144442</v>
      </c>
      <c r="F77" s="551">
        <f>C77+E77</f>
        <v>230936.25509443099</v>
      </c>
      <c r="G77" s="551">
        <f>F77/$J$9</f>
        <v>46416.548769809058</v>
      </c>
      <c r="H77" s="562"/>
      <c r="I77" s="543"/>
    </row>
    <row r="78" spans="1:9" x14ac:dyDescent="0.25">
      <c r="A78" s="657" t="s">
        <v>346</v>
      </c>
      <c r="B78" s="657"/>
      <c r="C78" s="551">
        <f>SUM(C76:C77)</f>
        <v>194064.07991128654</v>
      </c>
      <c r="D78" s="551">
        <f>SUM(D76:D77)</f>
        <v>39005.503167906769</v>
      </c>
      <c r="E78" s="551">
        <f>SUM(E76:E77)</f>
        <v>36872.175183144442</v>
      </c>
      <c r="F78" s="551">
        <f>SUM(F76:F77)</f>
        <v>230936.25509443099</v>
      </c>
      <c r="G78" s="551">
        <f>SUM(G76:G77)</f>
        <v>46416.548769809058</v>
      </c>
      <c r="I78" s="543"/>
    </row>
    <row r="79" spans="1:9" ht="15" customHeight="1" x14ac:dyDescent="0.25">
      <c r="A79" s="657" t="s">
        <v>619</v>
      </c>
      <c r="B79" s="657"/>
      <c r="C79" s="657"/>
      <c r="D79" s="657"/>
      <c r="E79" s="657"/>
      <c r="F79" s="657"/>
      <c r="G79" s="657"/>
      <c r="I79" s="543"/>
    </row>
    <row r="80" spans="1:9" s="563" customFormat="1" ht="42.75" x14ac:dyDescent="0.25">
      <c r="A80" s="547" t="s">
        <v>620</v>
      </c>
      <c r="B80" s="550" t="s">
        <v>621</v>
      </c>
      <c r="C80" s="551">
        <f>25%*(C8+C9+C10+C14+C16+C20+C21+C23+C31+C34+C61+C64)</f>
        <v>55822287.048877209</v>
      </c>
      <c r="D80" s="551">
        <f>C80/$J$9</f>
        <v>11219883.634932006</v>
      </c>
      <c r="E80" s="551">
        <f>C80*$J$11</f>
        <v>10606234.539286669</v>
      </c>
      <c r="F80" s="551">
        <f>C80+E80</f>
        <v>66428521.588163882</v>
      </c>
      <c r="G80" s="551">
        <f>F80/$J$9</f>
        <v>13351661.525569089</v>
      </c>
      <c r="H80" s="562"/>
      <c r="I80" s="543"/>
    </row>
    <row r="81" spans="1:10" s="563" customFormat="1" ht="38.25" customHeight="1" x14ac:dyDescent="0.25">
      <c r="A81" s="547" t="s">
        <v>622</v>
      </c>
      <c r="B81" s="564" t="s">
        <v>623</v>
      </c>
      <c r="C81" s="551">
        <v>16000000</v>
      </c>
      <c r="D81" s="551">
        <f>C81/$J$9</f>
        <v>3215886.4792072843</v>
      </c>
      <c r="E81" s="551">
        <f>C81*$J$11</f>
        <v>3040000</v>
      </c>
      <c r="F81" s="551">
        <f>C81+E81</f>
        <v>19040000</v>
      </c>
      <c r="G81" s="551">
        <f>F81/$J$9</f>
        <v>3826904.910256668</v>
      </c>
      <c r="H81" s="562"/>
      <c r="I81" s="543"/>
    </row>
    <row r="82" spans="1:10" x14ac:dyDescent="0.25">
      <c r="A82" s="657" t="s">
        <v>624</v>
      </c>
      <c r="B82" s="657"/>
      <c r="C82" s="551">
        <f>SUM(C80:C81)</f>
        <v>71822287.048877209</v>
      </c>
      <c r="D82" s="551">
        <f>SUM(D80:D81)</f>
        <v>14435770.114139291</v>
      </c>
      <c r="E82" s="551">
        <f>SUM(E80:E81)</f>
        <v>13646234.539286669</v>
      </c>
      <c r="F82" s="551">
        <f>SUM(F80:F81)</f>
        <v>85468521.588163882</v>
      </c>
      <c r="G82" s="551">
        <f>SUM(G80:G81)</f>
        <v>17178566.435825758</v>
      </c>
      <c r="I82" s="543"/>
    </row>
    <row r="83" spans="1:10" x14ac:dyDescent="0.25">
      <c r="A83" s="657" t="s">
        <v>347</v>
      </c>
      <c r="B83" s="657"/>
      <c r="C83" s="551">
        <f>C11+C14+C40+C61+C74+C78+C82</f>
        <v>304794935.51276755</v>
      </c>
      <c r="D83" s="551">
        <f t="shared" ref="D83:G83" si="14">D11+D14+D40+D61+D74+D78+D82</f>
        <v>61261619.502897844</v>
      </c>
      <c r="E83" s="551">
        <f t="shared" si="14"/>
        <v>57495472.211946428</v>
      </c>
      <c r="F83" s="551">
        <f t="shared" si="14"/>
        <v>362290407.72471404</v>
      </c>
      <c r="G83" s="551">
        <f t="shared" si="14"/>
        <v>72817801.484275132</v>
      </c>
      <c r="I83" s="543"/>
      <c r="J83" s="543">
        <f>I83/4.9493</f>
        <v>0</v>
      </c>
    </row>
    <row r="84" spans="1:10" ht="27.75" customHeight="1" x14ac:dyDescent="0.25">
      <c r="A84" s="658" t="s">
        <v>348</v>
      </c>
      <c r="B84" s="658"/>
      <c r="C84" s="551">
        <f>C8+C9+C10+C14+C42+C56+C64</f>
        <v>198835184.43991271</v>
      </c>
      <c r="D84" s="551">
        <f>D8+D9+D10+D14+D42+D56+D64</f>
        <v>39964461.326937631</v>
      </c>
      <c r="E84" s="551">
        <f>E8+E9+E10+E14+E42+E56+E64</f>
        <v>37778685.043583415</v>
      </c>
      <c r="F84" s="551">
        <f>F8+F9+F10+F14+F42+F56+F64</f>
        <v>236613869.48349613</v>
      </c>
      <c r="G84" s="551">
        <f>G8+G9+G10+G14+G42+G56+G64</f>
        <v>47557708.979055762</v>
      </c>
      <c r="I84" s="543"/>
    </row>
    <row r="86" spans="1:10" x14ac:dyDescent="0.25">
      <c r="C86" s="555"/>
      <c r="D86" s="555"/>
    </row>
    <row r="87" spans="1:10" x14ac:dyDescent="0.25">
      <c r="B87" s="565" t="s">
        <v>625</v>
      </c>
      <c r="C87" s="557"/>
      <c r="D87" s="555"/>
      <c r="E87" s="543"/>
      <c r="G87" s="543"/>
      <c r="I87" s="566"/>
      <c r="J87" s="567"/>
    </row>
    <row r="88" spans="1:10" x14ac:dyDescent="0.25">
      <c r="B88" s="565" t="s">
        <v>626</v>
      </c>
      <c r="C88" s="555">
        <f>(C61+C64)*0.25</f>
        <v>53681040.967924342</v>
      </c>
      <c r="D88" s="555"/>
      <c r="E88" s="557"/>
    </row>
    <row r="89" spans="1:10" x14ac:dyDescent="0.25">
      <c r="B89" s="565"/>
      <c r="C89" s="568">
        <f>C31*0.25</f>
        <v>139482.28202025441</v>
      </c>
    </row>
    <row r="90" spans="1:10" x14ac:dyDescent="0.25">
      <c r="B90" s="565" t="s">
        <v>627</v>
      </c>
      <c r="C90" s="535">
        <f>C34*0.25</f>
        <v>644844.24497803138</v>
      </c>
    </row>
    <row r="91" spans="1:10" x14ac:dyDescent="0.25">
      <c r="B91" s="565"/>
    </row>
    <row r="92" spans="1:10" x14ac:dyDescent="0.25">
      <c r="B92" s="565" t="s">
        <v>628</v>
      </c>
      <c r="C92" s="569"/>
      <c r="E92" s="570"/>
    </row>
    <row r="93" spans="1:10" x14ac:dyDescent="0.25">
      <c r="B93" s="565" t="s">
        <v>629</v>
      </c>
      <c r="E93" s="570"/>
    </row>
    <row r="94" spans="1:10" x14ac:dyDescent="0.25">
      <c r="E94" s="570"/>
    </row>
  </sheetData>
  <mergeCells count="22">
    <mergeCell ref="A40:B40"/>
    <mergeCell ref="A2:G2"/>
    <mergeCell ref="A3:A5"/>
    <mergeCell ref="B3:B5"/>
    <mergeCell ref="C3:D4"/>
    <mergeCell ref="E3:E4"/>
    <mergeCell ref="F3:G4"/>
    <mergeCell ref="A6:G6"/>
    <mergeCell ref="A11:B11"/>
    <mergeCell ref="A12:G12"/>
    <mergeCell ref="A14:B14"/>
    <mergeCell ref="A15:G15"/>
    <mergeCell ref="A79:G79"/>
    <mergeCell ref="A82:B82"/>
    <mergeCell ref="A83:B83"/>
    <mergeCell ref="A84:B84"/>
    <mergeCell ref="A41:G41"/>
    <mergeCell ref="A61:B61"/>
    <mergeCell ref="A62:G62"/>
    <mergeCell ref="A74:B74"/>
    <mergeCell ref="A75:G75"/>
    <mergeCell ref="A78:B78"/>
  </mergeCells>
  <pageMargins left="0.70866141732283472" right="0.43307086614173229" top="0.51181102362204722" bottom="0.51181102362204722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7527-7F6E-45E3-A4DD-3EAD02D47A04}">
  <sheetPr>
    <pageSetUpPr fitToPage="1"/>
  </sheetPr>
  <dimension ref="A1:AJ39"/>
  <sheetViews>
    <sheetView zoomScale="85" zoomScaleNormal="85" workbookViewId="0">
      <selection activeCell="O12" sqref="O12"/>
    </sheetView>
  </sheetViews>
  <sheetFormatPr defaultColWidth="9.140625" defaultRowHeight="16.5" x14ac:dyDescent="0.3"/>
  <cols>
    <col min="1" max="1" width="3.85546875" style="149" customWidth="1"/>
    <col min="2" max="2" width="3.28515625" style="150" customWidth="1"/>
    <col min="3" max="3" width="16" style="149" customWidth="1"/>
    <col min="4" max="6" width="9.140625" style="149"/>
    <col min="7" max="7" width="11.7109375" style="149" customWidth="1"/>
    <col min="8" max="8" width="4.42578125" style="149" customWidth="1"/>
    <col min="9" max="9" width="12.28515625" style="149" customWidth="1"/>
    <col min="10" max="10" width="4" style="149" customWidth="1"/>
    <col min="11" max="11" width="14.28515625" style="149" customWidth="1"/>
    <col min="12" max="12" width="3.5703125" style="149" customWidth="1"/>
    <col min="13" max="15" width="12.7109375" style="151" customWidth="1"/>
    <col min="16" max="18" width="14" style="151" customWidth="1"/>
    <col min="19" max="19" width="13.7109375" style="151" customWidth="1"/>
    <col min="20" max="24" width="12.7109375" style="151" customWidth="1"/>
    <col min="25" max="25" width="3.7109375" style="151" customWidth="1"/>
    <col min="26" max="26" width="4.42578125" style="149" customWidth="1"/>
    <col min="27" max="27" width="12.7109375" style="149" customWidth="1"/>
    <col min="28" max="28" width="15" style="152" bestFit="1" customWidth="1"/>
    <col min="29" max="33" width="12.7109375" style="149" customWidth="1"/>
    <col min="34" max="34" width="3.28515625" style="149" customWidth="1"/>
    <col min="35" max="35" width="4.5703125" style="149" customWidth="1"/>
    <col min="36" max="36" width="4.7109375" style="149" customWidth="1"/>
    <col min="37" max="16384" width="9.140625" style="149"/>
  </cols>
  <sheetData>
    <row r="1" spans="1:36" ht="15" customHeight="1" x14ac:dyDescent="0.3"/>
    <row r="2" spans="1:36" ht="15" customHeight="1" x14ac:dyDescent="0.3">
      <c r="M2" s="675"/>
      <c r="N2" s="675"/>
      <c r="O2" s="675"/>
      <c r="P2" s="675"/>
      <c r="Q2" s="675"/>
      <c r="R2" s="153"/>
      <c r="S2" s="154"/>
      <c r="T2" s="154"/>
      <c r="U2" s="154"/>
      <c r="V2" s="154"/>
      <c r="W2" s="154"/>
      <c r="X2" s="154"/>
      <c r="Y2" s="154"/>
      <c r="Z2" s="155"/>
      <c r="AA2" s="155"/>
      <c r="AB2" s="156"/>
      <c r="AC2" s="155"/>
      <c r="AD2" s="155"/>
      <c r="AE2" s="155"/>
      <c r="AF2" s="155"/>
      <c r="AG2" s="155"/>
      <c r="AH2" s="155"/>
      <c r="AI2" s="155"/>
    </row>
    <row r="3" spans="1:36" ht="22.5" customHeight="1" x14ac:dyDescent="0.3">
      <c r="C3" s="157" t="s">
        <v>0</v>
      </c>
      <c r="D3" s="663" t="str">
        <f>'1.Input'!D3</f>
        <v>PRIMARIA MUNICIPIULUI SUCEAVA</v>
      </c>
      <c r="E3" s="663"/>
      <c r="F3" s="663"/>
      <c r="G3" s="663"/>
      <c r="H3" s="663"/>
      <c r="I3" s="663"/>
      <c r="J3" s="158"/>
      <c r="K3" s="676" t="s">
        <v>51</v>
      </c>
      <c r="L3" s="158"/>
      <c r="M3" s="674" t="s">
        <v>48</v>
      </c>
      <c r="N3" s="674"/>
      <c r="O3" s="674"/>
      <c r="P3" s="674"/>
      <c r="Q3" s="674"/>
      <c r="R3" s="674"/>
      <c r="S3" s="674" t="s">
        <v>49</v>
      </c>
      <c r="T3" s="674"/>
      <c r="U3" s="674"/>
      <c r="V3" s="674"/>
      <c r="W3" s="674"/>
      <c r="X3" s="674"/>
      <c r="Y3" s="159"/>
      <c r="Z3" s="160"/>
      <c r="AA3" s="160"/>
      <c r="AB3" s="161"/>
      <c r="AC3" s="160"/>
      <c r="AD3" s="160"/>
      <c r="AE3" s="160"/>
      <c r="AF3" s="160"/>
      <c r="AG3" s="160"/>
      <c r="AH3" s="162"/>
      <c r="AI3" s="155"/>
    </row>
    <row r="4" spans="1:36" ht="26.25" customHeight="1" x14ac:dyDescent="0.3">
      <c r="C4" s="157" t="s">
        <v>1</v>
      </c>
      <c r="D4" s="664" t="str">
        <f>'1.Input'!D4</f>
        <v>Reabilitarea sistemului de transport și distribuție energie termică în municipiul Suceava</v>
      </c>
      <c r="E4" s="664"/>
      <c r="F4" s="664"/>
      <c r="G4" s="664"/>
      <c r="H4" s="664"/>
      <c r="I4" s="664"/>
      <c r="J4" s="158"/>
      <c r="K4" s="677"/>
      <c r="L4" s="158"/>
      <c r="M4" s="163" t="s">
        <v>50</v>
      </c>
      <c r="N4" s="163">
        <v>2024</v>
      </c>
      <c r="O4" s="163">
        <f>N4+1</f>
        <v>2025</v>
      </c>
      <c r="P4" s="163">
        <f t="shared" ref="P4:R4" si="0">O4+1</f>
        <v>2026</v>
      </c>
      <c r="Q4" s="163">
        <f t="shared" si="0"/>
        <v>2027</v>
      </c>
      <c r="R4" s="163">
        <f t="shared" si="0"/>
        <v>2028</v>
      </c>
      <c r="S4" s="164" t="s">
        <v>46</v>
      </c>
      <c r="T4" s="164">
        <f>N4</f>
        <v>2024</v>
      </c>
      <c r="U4" s="164">
        <f t="shared" ref="U4:X4" si="1">O4</f>
        <v>2025</v>
      </c>
      <c r="V4" s="164">
        <f t="shared" si="1"/>
        <v>2026</v>
      </c>
      <c r="W4" s="164">
        <f t="shared" si="1"/>
        <v>2027</v>
      </c>
      <c r="X4" s="164">
        <f t="shared" si="1"/>
        <v>2028</v>
      </c>
      <c r="Y4" s="165"/>
      <c r="Z4" s="166"/>
      <c r="AA4" s="166"/>
      <c r="AB4" s="167"/>
      <c r="AC4" s="166"/>
      <c r="AD4" s="166"/>
      <c r="AE4" s="166"/>
      <c r="AF4" s="166"/>
      <c r="AG4" s="166"/>
      <c r="AH4" s="166"/>
      <c r="AI4" s="155"/>
    </row>
    <row r="7" spans="1:36" ht="17.25" thickBot="1" x14ac:dyDescent="0.3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36" ht="15.75" customHeight="1" thickBot="1" x14ac:dyDescent="0.35">
      <c r="A8" s="168"/>
      <c r="B8" s="168"/>
      <c r="C8" s="665" t="s">
        <v>630</v>
      </c>
      <c r="D8" s="666"/>
      <c r="E8" s="666"/>
      <c r="F8" s="666"/>
      <c r="G8" s="666"/>
      <c r="H8" s="66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36" s="155" customFormat="1" x14ac:dyDescent="0.3">
      <c r="A9" s="168"/>
      <c r="B9" s="150"/>
      <c r="C9" s="154"/>
      <c r="D9" s="154"/>
      <c r="E9" s="154"/>
      <c r="F9" s="154"/>
      <c r="G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68"/>
      <c r="AB9" s="156"/>
      <c r="AI9" s="149"/>
      <c r="AJ9" s="149"/>
    </row>
    <row r="10" spans="1:36" s="155" customFormat="1" x14ac:dyDescent="0.3">
      <c r="A10" s="168"/>
      <c r="B10" s="169">
        <v>1</v>
      </c>
      <c r="C10" s="668" t="s">
        <v>36</v>
      </c>
      <c r="D10" s="669"/>
      <c r="E10" s="669"/>
      <c r="F10" s="669"/>
      <c r="G10" s="670"/>
      <c r="I10" s="170" t="s">
        <v>47</v>
      </c>
      <c r="J10" s="171"/>
      <c r="K10" s="172">
        <f>M10+S10</f>
        <v>6441558.1734587345</v>
      </c>
      <c r="L10" s="171"/>
      <c r="M10" s="173">
        <f>SUM(N10:R10)</f>
        <v>5153246.5387669876</v>
      </c>
      <c r="N10" s="174">
        <f>'DG ETAPA I'!C26</f>
        <v>659500</v>
      </c>
      <c r="O10" s="174">
        <f>'DG ETAPA I'!C16+'DG ETAPA I'!C20+'DG ETAPA I'!C21+'DG ETAPA I'!C22+'DG ETAPA I'!C28+'DG ETAPA I'!C29</f>
        <v>4493746.5387669876</v>
      </c>
      <c r="P10" s="174"/>
      <c r="Q10" s="174"/>
      <c r="R10" s="174"/>
      <c r="S10" s="173">
        <f t="shared" ref="S10:S16" si="2">SUM(T10:X10)</f>
        <v>1288311.6346917469</v>
      </c>
      <c r="T10" s="174"/>
      <c r="U10" s="174">
        <f>0.25*SUM('DG ETAPA I'!C16,'DG ETAPA I'!C20,'DG ETAPA I'!C21,'DG ETAPA I'!C22,'DG ETAPA I'!C23)</f>
        <v>1288311.6346917469</v>
      </c>
      <c r="V10" s="174"/>
      <c r="W10" s="174"/>
      <c r="X10" s="174"/>
      <c r="Y10" s="175"/>
      <c r="Z10" s="168"/>
      <c r="AA10" s="176"/>
      <c r="AB10" s="177"/>
      <c r="AC10" s="176"/>
      <c r="AD10" s="176"/>
      <c r="AE10" s="176"/>
      <c r="AF10" s="176"/>
      <c r="AG10" s="176"/>
      <c r="AI10" s="149"/>
      <c r="AJ10" s="149"/>
    </row>
    <row r="11" spans="1:36" s="155" customFormat="1" ht="14.25" customHeight="1" x14ac:dyDescent="0.3">
      <c r="A11" s="168"/>
      <c r="B11" s="169">
        <f>B10+1</f>
        <v>2</v>
      </c>
      <c r="C11" s="668" t="s">
        <v>37</v>
      </c>
      <c r="D11" s="669"/>
      <c r="E11" s="669"/>
      <c r="F11" s="669"/>
      <c r="G11" s="670"/>
      <c r="I11" s="170" t="s">
        <v>47</v>
      </c>
      <c r="K11" s="172">
        <f t="shared" ref="K11:K20" si="3">M11+S11</f>
        <v>0</v>
      </c>
      <c r="M11" s="173">
        <f t="shared" ref="M11:M20" si="4">SUM(N11:R11)</f>
        <v>0</v>
      </c>
      <c r="N11" s="174"/>
      <c r="O11" s="174"/>
      <c r="P11" s="174"/>
      <c r="Q11" s="174"/>
      <c r="R11" s="174"/>
      <c r="S11" s="173">
        <f t="shared" si="2"/>
        <v>0</v>
      </c>
      <c r="T11" s="174"/>
      <c r="U11" s="174"/>
      <c r="V11" s="174"/>
      <c r="W11" s="174"/>
      <c r="X11" s="174"/>
      <c r="Y11" s="175"/>
      <c r="Z11" s="168"/>
      <c r="AA11" s="178"/>
      <c r="AB11" s="179"/>
      <c r="AC11" s="178"/>
      <c r="AD11" s="178"/>
      <c r="AE11" s="178"/>
      <c r="AF11" s="178"/>
      <c r="AG11" s="178"/>
      <c r="AI11" s="149"/>
      <c r="AJ11" s="149"/>
    </row>
    <row r="12" spans="1:36" s="155" customFormat="1" x14ac:dyDescent="0.3">
      <c r="A12" s="168"/>
      <c r="B12" s="169">
        <f>B11+1</f>
        <v>3</v>
      </c>
      <c r="C12" s="668" t="s">
        <v>38</v>
      </c>
      <c r="D12" s="669"/>
      <c r="E12" s="669"/>
      <c r="F12" s="669"/>
      <c r="G12" s="670"/>
      <c r="I12" s="170" t="s">
        <v>47</v>
      </c>
      <c r="J12" s="180"/>
      <c r="K12" s="172">
        <f t="shared" si="3"/>
        <v>285408062.30763423</v>
      </c>
      <c r="L12" s="180"/>
      <c r="M12" s="173">
        <f t="shared" si="4"/>
        <v>231658413.42044705</v>
      </c>
      <c r="N12" s="174"/>
      <c r="O12" s="174">
        <f>'DG ETAPA I'!$C$63*30%+('DG ETAPA I'!$C$61+'DG ETAPA I'!$C$81)/8*2+'DG ETAPA I'!C8</f>
        <v>58010371.566601329</v>
      </c>
      <c r="P12" s="174">
        <f>('DG ETAPA I'!$C$61+'DG ETAPA I'!$C$81)/8*4</f>
        <v>114585825.61620353</v>
      </c>
      <c r="Q12" s="174">
        <f>'DG ETAPA I'!$C$63*70%+('DG ETAPA I'!$C$61+'DG ETAPA I'!$C$81)/8*2+'DG ETAPA I'!C78+'DG ETAPA I'!C9</f>
        <v>59062216.237642214</v>
      </c>
      <c r="R12" s="174"/>
      <c r="S12" s="173">
        <f t="shared" si="2"/>
        <v>53749648.887187183</v>
      </c>
      <c r="T12" s="174"/>
      <c r="U12" s="174">
        <f>(('DG ETAPA I'!$C$61)/8*2+30%*'DG ETAPA I'!C64+'DG ETAPA I'!C8)*0.25</f>
        <v>13467661.357266301</v>
      </c>
      <c r="V12" s="174">
        <f>('DG ETAPA I'!$C$61)/8*4*0.25</f>
        <v>26646456.404050883</v>
      </c>
      <c r="W12" s="174">
        <f>(('DG ETAPA I'!$C$61)/8*2+'DG ETAPA I'!C64*70%+'DG ETAPA I'!C9)*0.25</f>
        <v>13635531.125869993</v>
      </c>
      <c r="X12" s="174"/>
      <c r="Y12" s="175"/>
      <c r="Z12" s="168"/>
      <c r="AA12" s="176"/>
      <c r="AB12" s="177"/>
      <c r="AC12" s="176"/>
      <c r="AD12" s="176"/>
      <c r="AE12" s="176"/>
      <c r="AF12" s="176"/>
      <c r="AG12" s="176"/>
      <c r="AI12" s="149"/>
      <c r="AJ12" s="149"/>
    </row>
    <row r="13" spans="1:36" s="155" customFormat="1" ht="14.25" customHeight="1" x14ac:dyDescent="0.3">
      <c r="A13" s="168"/>
      <c r="B13" s="169">
        <f>B12+1</f>
        <v>4</v>
      </c>
      <c r="C13" s="668" t="s">
        <v>39</v>
      </c>
      <c r="D13" s="669"/>
      <c r="E13" s="669"/>
      <c r="F13" s="669"/>
      <c r="G13" s="670"/>
      <c r="I13" s="170" t="s">
        <v>47</v>
      </c>
      <c r="K13" s="172">
        <f t="shared" si="3"/>
        <v>0</v>
      </c>
      <c r="M13" s="173">
        <f t="shared" si="4"/>
        <v>0</v>
      </c>
      <c r="N13" s="174"/>
      <c r="O13" s="174"/>
      <c r="P13" s="174"/>
      <c r="Q13" s="174"/>
      <c r="R13" s="174"/>
      <c r="S13" s="173">
        <f t="shared" si="2"/>
        <v>0</v>
      </c>
      <c r="T13" s="174"/>
      <c r="U13" s="174"/>
      <c r="V13" s="174"/>
      <c r="W13" s="174"/>
      <c r="X13" s="174"/>
      <c r="Y13" s="175"/>
      <c r="Z13" s="168"/>
      <c r="AA13" s="178"/>
      <c r="AB13" s="179"/>
      <c r="AC13" s="178"/>
      <c r="AD13" s="178"/>
      <c r="AE13" s="178"/>
      <c r="AF13" s="178"/>
      <c r="AG13" s="178"/>
      <c r="AI13" s="149"/>
      <c r="AJ13" s="149"/>
    </row>
    <row r="14" spans="1:36" s="181" customFormat="1" ht="15" customHeight="1" x14ac:dyDescent="0.3">
      <c r="A14" s="168"/>
      <c r="B14" s="169">
        <f t="shared" ref="B14:B20" si="5">B13+1</f>
        <v>5</v>
      </c>
      <c r="C14" s="668" t="s">
        <v>40</v>
      </c>
      <c r="D14" s="669"/>
      <c r="E14" s="669"/>
      <c r="F14" s="669"/>
      <c r="G14" s="670"/>
      <c r="I14" s="170" t="s">
        <v>47</v>
      </c>
      <c r="J14" s="182"/>
      <c r="K14" s="172">
        <f t="shared" si="3"/>
        <v>6632960.3678441253</v>
      </c>
      <c r="L14" s="182"/>
      <c r="M14" s="173">
        <f t="shared" si="4"/>
        <v>6632960.3678441253</v>
      </c>
      <c r="N14" s="174"/>
      <c r="O14" s="174"/>
      <c r="P14" s="174"/>
      <c r="Q14" s="174">
        <f>'DG ETAPA I'!C72</f>
        <v>6632960.3678441253</v>
      </c>
      <c r="R14" s="174"/>
      <c r="S14" s="173">
        <f t="shared" si="2"/>
        <v>0</v>
      </c>
      <c r="T14" s="174"/>
      <c r="U14" s="174"/>
      <c r="V14" s="174"/>
      <c r="W14" s="174"/>
      <c r="X14" s="174"/>
      <c r="Y14" s="175"/>
      <c r="Z14" s="168"/>
      <c r="AA14" s="183"/>
      <c r="AB14" s="184"/>
      <c r="AC14" s="183"/>
      <c r="AD14" s="183"/>
      <c r="AE14" s="183"/>
      <c r="AF14" s="183"/>
      <c r="AG14" s="183"/>
      <c r="AI14" s="185"/>
      <c r="AJ14" s="185"/>
    </row>
    <row r="15" spans="1:36" s="155" customFormat="1" x14ac:dyDescent="0.3">
      <c r="A15" s="168"/>
      <c r="B15" s="169">
        <f t="shared" si="5"/>
        <v>6</v>
      </c>
      <c r="C15" s="668" t="s">
        <v>41</v>
      </c>
      <c r="D15" s="669"/>
      <c r="E15" s="669"/>
      <c r="F15" s="669"/>
      <c r="G15" s="670"/>
      <c r="I15" s="170" t="s">
        <v>47</v>
      </c>
      <c r="J15" s="180"/>
      <c r="K15" s="172">
        <f t="shared" si="3"/>
        <v>173535</v>
      </c>
      <c r="L15" s="180"/>
      <c r="M15" s="173">
        <f t="shared" si="4"/>
        <v>173535</v>
      </c>
      <c r="N15" s="174">
        <v>0</v>
      </c>
      <c r="O15" s="174">
        <f>'DG ETAPA I'!C73*50%+'DG ETAPA I'!C73*50%/9*3</f>
        <v>115690</v>
      </c>
      <c r="P15" s="174">
        <f>'DG ETAPA I'!$C$73*50%/9*4</f>
        <v>38563.333333333336</v>
      </c>
      <c r="Q15" s="174">
        <f>'DG ETAPA I'!$C$73*50%/9*2</f>
        <v>19281.666666666668</v>
      </c>
      <c r="R15" s="174"/>
      <c r="S15" s="173">
        <f t="shared" si="2"/>
        <v>0</v>
      </c>
      <c r="T15" s="174"/>
      <c r="U15" s="174"/>
      <c r="V15" s="174"/>
      <c r="W15" s="174"/>
      <c r="X15" s="174"/>
      <c r="Y15" s="175"/>
      <c r="Z15" s="168"/>
      <c r="AB15" s="156"/>
      <c r="AI15" s="149"/>
      <c r="AJ15" s="149"/>
    </row>
    <row r="16" spans="1:36" s="155" customFormat="1" x14ac:dyDescent="0.3">
      <c r="A16" s="168"/>
      <c r="B16" s="169">
        <f t="shared" si="5"/>
        <v>7</v>
      </c>
      <c r="C16" s="668" t="s">
        <v>42</v>
      </c>
      <c r="D16" s="669"/>
      <c r="E16" s="669"/>
      <c r="F16" s="669"/>
      <c r="G16" s="670"/>
      <c r="I16" s="170" t="s">
        <v>47</v>
      </c>
      <c r="J16" s="180"/>
      <c r="K16" s="172">
        <f t="shared" si="3"/>
        <v>3224221.2248901566</v>
      </c>
      <c r="L16" s="180"/>
      <c r="M16" s="173">
        <f t="shared" si="4"/>
        <v>2579376.9799121255</v>
      </c>
      <c r="N16" s="174">
        <v>0</v>
      </c>
      <c r="O16" s="174">
        <f>'DG ETAPA I'!$C$34/8*2</f>
        <v>644844.24497803138</v>
      </c>
      <c r="P16" s="174">
        <f>'DG ETAPA I'!$C$34/8*4</f>
        <v>1289688.4899560628</v>
      </c>
      <c r="Q16" s="174">
        <f>'DG ETAPA I'!$C$34/8*2</f>
        <v>644844.24497803138</v>
      </c>
      <c r="R16" s="174"/>
      <c r="S16" s="173">
        <f t="shared" si="2"/>
        <v>644844.24497803138</v>
      </c>
      <c r="T16" s="174"/>
      <c r="U16" s="174">
        <f>O16*0.25</f>
        <v>161211.06124450784</v>
      </c>
      <c r="V16" s="174">
        <f t="shared" ref="V16:W16" si="6">P16*0.25</f>
        <v>322422.12248901569</v>
      </c>
      <c r="W16" s="174">
        <f t="shared" si="6"/>
        <v>161211.06124450784</v>
      </c>
      <c r="X16" s="174"/>
      <c r="Y16" s="175"/>
      <c r="Z16" s="168"/>
      <c r="AB16" s="156"/>
      <c r="AI16" s="149"/>
      <c r="AJ16" s="149"/>
    </row>
    <row r="17" spans="1:36" s="155" customFormat="1" ht="14.25" customHeight="1" x14ac:dyDescent="0.3">
      <c r="A17" s="168"/>
      <c r="B17" s="169">
        <f t="shared" si="5"/>
        <v>8</v>
      </c>
      <c r="C17" s="668" t="s">
        <v>43</v>
      </c>
      <c r="D17" s="669"/>
      <c r="E17" s="669"/>
      <c r="F17" s="669"/>
      <c r="G17" s="670"/>
      <c r="I17" s="170" t="s">
        <v>47</v>
      </c>
      <c r="J17" s="180"/>
      <c r="K17" s="172">
        <f t="shared" si="3"/>
        <v>2914598.4389403122</v>
      </c>
      <c r="L17" s="180"/>
      <c r="M17" s="173">
        <f t="shared" si="4"/>
        <v>124505.99808101763</v>
      </c>
      <c r="N17" s="174"/>
      <c r="O17" s="174">
        <f>('DG ETAPA I'!C32-433423.13)/10*4</f>
        <v>39802.399232407057</v>
      </c>
      <c r="P17" s="174">
        <f>('DG ETAPA I'!C32-433423.13)/10*4</f>
        <v>39802.399232407057</v>
      </c>
      <c r="Q17" s="174">
        <f>'DG ETAPA I'!C33+('DG ETAPA I'!C32-433423.13)/10*2</f>
        <v>44901.199616203528</v>
      </c>
      <c r="R17" s="174"/>
      <c r="S17" s="173">
        <f>SUM(T17:X17)</f>
        <v>2790092.4408592945</v>
      </c>
      <c r="T17" s="174"/>
      <c r="U17" s="174">
        <f>'DG ETAPA I'!C69+'DG ETAPA I'!C68*50%+'DG ETAPA I'!C71+'DG ETAPA I'!C70/8*2+433423.13/10*4*1.25+('DG ETAPA I'!C32-433423.13)/10*4*0.25</f>
        <v>1201129.2908976872</v>
      </c>
      <c r="V17" s="174">
        <f>'DG ETAPA I'!C70/8*4+433423.13/10*4*1.25+('DG ETAPA I'!C32-433423.13)/10*4*0.25</f>
        <v>723750.12590788351</v>
      </c>
      <c r="W17" s="174">
        <f>'DG ETAPA I'!C68*50%+'DG ETAPA I'!C70/8*2+433423.13/10*2*1.25+'DG ETAPA I'!C33*0.25+('DG ETAPA I'!C32-433423.13)/10*2*0.25</f>
        <v>865213.02405372355</v>
      </c>
      <c r="X17" s="174"/>
      <c r="Y17" s="175"/>
      <c r="Z17" s="168"/>
      <c r="AB17" s="156"/>
      <c r="AC17" s="186"/>
      <c r="AI17" s="149"/>
      <c r="AJ17" s="149"/>
    </row>
    <row r="18" spans="1:36" s="155" customFormat="1" x14ac:dyDescent="0.3">
      <c r="A18" s="168"/>
      <c r="B18" s="169">
        <f t="shared" si="5"/>
        <v>9</v>
      </c>
      <c r="C18" s="671" t="s">
        <v>44</v>
      </c>
      <c r="D18" s="672"/>
      <c r="E18" s="672"/>
      <c r="F18" s="672"/>
      <c r="G18" s="673"/>
      <c r="I18" s="187" t="s">
        <v>47</v>
      </c>
      <c r="J18" s="180"/>
      <c r="K18" s="172">
        <f t="shared" si="3"/>
        <v>304794935.51276755</v>
      </c>
      <c r="L18" s="180"/>
      <c r="M18" s="173">
        <f t="shared" si="4"/>
        <v>246322038.30505133</v>
      </c>
      <c r="N18" s="173">
        <f t="shared" ref="N18:O18" si="7">SUM(N10:N17)</f>
        <v>659500</v>
      </c>
      <c r="O18" s="173">
        <f t="shared" si="7"/>
        <v>63304454.749578759</v>
      </c>
      <c r="P18" s="173">
        <f>SUM(P10:P17)</f>
        <v>115953879.83872533</v>
      </c>
      <c r="Q18" s="173">
        <f>SUM(Q10:Q17)</f>
        <v>66404203.716747239</v>
      </c>
      <c r="R18" s="173">
        <f>SUM(R10:R17)</f>
        <v>0</v>
      </c>
      <c r="S18" s="173">
        <f t="shared" ref="S18:S20" si="8">SUM(T18:X18)</f>
        <v>58472897.207716256</v>
      </c>
      <c r="T18" s="173">
        <f t="shared" ref="T18:U18" si="9">SUM(T10:T17)</f>
        <v>0</v>
      </c>
      <c r="U18" s="173">
        <f t="shared" si="9"/>
        <v>16118313.344100244</v>
      </c>
      <c r="V18" s="173">
        <f>SUM(V10:V17)</f>
        <v>27692628.652447782</v>
      </c>
      <c r="W18" s="173">
        <f>SUM(W10:W17)</f>
        <v>14661955.211168226</v>
      </c>
      <c r="X18" s="173">
        <f>SUM(X10:X17)</f>
        <v>0</v>
      </c>
      <c r="Y18" s="188"/>
      <c r="Z18" s="168"/>
      <c r="AB18" s="156"/>
      <c r="AI18" s="149"/>
      <c r="AJ18" s="149"/>
    </row>
    <row r="19" spans="1:36" s="155" customFormat="1" x14ac:dyDescent="0.3">
      <c r="A19" s="168"/>
      <c r="B19" s="169">
        <f t="shared" si="5"/>
        <v>10</v>
      </c>
      <c r="C19" s="668" t="s">
        <v>45</v>
      </c>
      <c r="D19" s="669"/>
      <c r="E19" s="669"/>
      <c r="F19" s="669"/>
      <c r="G19" s="670"/>
      <c r="I19" s="170" t="s">
        <v>47</v>
      </c>
      <c r="J19" s="180"/>
      <c r="K19" s="172">
        <f t="shared" si="3"/>
        <v>57495472.211946428</v>
      </c>
      <c r="L19" s="180"/>
      <c r="M19" s="173">
        <f t="shared" si="4"/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3">
        <f t="shared" si="8"/>
        <v>57495472.211946428</v>
      </c>
      <c r="T19" s="174">
        <f>N18*TVA</f>
        <v>125305</v>
      </c>
      <c r="U19" s="174">
        <f>(O18+U10+U12+U16+'DG ETAPA I'!C71+'DG ETAPA I'!C32/10*4)*TVA</f>
        <v>14908313.986262606</v>
      </c>
      <c r="V19" s="174">
        <f>(P18+V12+V16+'DG ETAPA I'!C32/10*4)*TVA</f>
        <v>27195826.703134552</v>
      </c>
      <c r="W19" s="174">
        <f>'DG ETAPA I'!E83-'4.Investitie'!T19-'4.Investitie'!U19-'4.Investitie'!V19</f>
        <v>15266026.522549272</v>
      </c>
      <c r="X19" s="174">
        <f>R18*TVA</f>
        <v>0</v>
      </c>
      <c r="Y19" s="175"/>
      <c r="Z19" s="168"/>
      <c r="AB19" s="156"/>
      <c r="AI19" s="149"/>
      <c r="AJ19" s="149"/>
    </row>
    <row r="20" spans="1:36" s="155" customFormat="1" x14ac:dyDescent="0.3">
      <c r="A20" s="168"/>
      <c r="B20" s="169">
        <f t="shared" si="5"/>
        <v>11</v>
      </c>
      <c r="C20" s="671" t="s">
        <v>46</v>
      </c>
      <c r="D20" s="672"/>
      <c r="E20" s="672"/>
      <c r="F20" s="672"/>
      <c r="G20" s="673"/>
      <c r="I20" s="187" t="s">
        <v>47</v>
      </c>
      <c r="J20" s="180"/>
      <c r="K20" s="172">
        <f t="shared" si="3"/>
        <v>362290407.72471404</v>
      </c>
      <c r="L20" s="180"/>
      <c r="M20" s="173">
        <f t="shared" si="4"/>
        <v>246322038.30505133</v>
      </c>
      <c r="N20" s="173">
        <f t="shared" ref="N20:O20" si="10">SUM(N18:N19)</f>
        <v>659500</v>
      </c>
      <c r="O20" s="173">
        <f t="shared" si="10"/>
        <v>63304454.749578759</v>
      </c>
      <c r="P20" s="173">
        <f>SUM(P18:P19)</f>
        <v>115953879.83872533</v>
      </c>
      <c r="Q20" s="173">
        <f t="shared" ref="Q20" si="11">SUM(Q18:Q19)</f>
        <v>66404203.716747239</v>
      </c>
      <c r="R20" s="173">
        <f t="shared" ref="R20" si="12">SUM(R18:R19)</f>
        <v>0</v>
      </c>
      <c r="S20" s="596">
        <f t="shared" si="8"/>
        <v>115968369.41966268</v>
      </c>
      <c r="T20" s="173">
        <f t="shared" ref="T20:U20" si="13">SUM(T18:T19)</f>
        <v>125305</v>
      </c>
      <c r="U20" s="173">
        <f t="shared" si="13"/>
        <v>31026627.330362849</v>
      </c>
      <c r="V20" s="173">
        <f>SUM(V18:V19)</f>
        <v>54888455.355582334</v>
      </c>
      <c r="W20" s="173">
        <f t="shared" ref="W20:X20" si="14">SUM(W18:W19)</f>
        <v>29927981.733717497</v>
      </c>
      <c r="X20" s="173">
        <f t="shared" si="14"/>
        <v>0</v>
      </c>
      <c r="Y20" s="188"/>
      <c r="Z20" s="168"/>
      <c r="AB20" s="156"/>
      <c r="AI20" s="149"/>
      <c r="AJ20" s="149"/>
    </row>
    <row r="21" spans="1:36" s="155" customFormat="1" x14ac:dyDescent="0.3">
      <c r="A21" s="168"/>
      <c r="B21" s="169"/>
      <c r="C21" s="189"/>
      <c r="D21" s="189"/>
      <c r="E21" s="189"/>
      <c r="F21" s="189"/>
      <c r="G21" s="189"/>
      <c r="I21" s="180"/>
      <c r="J21" s="180"/>
      <c r="K21" s="180"/>
      <c r="L21" s="180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68"/>
      <c r="AB21" s="156"/>
      <c r="AI21" s="149"/>
      <c r="AJ21" s="149"/>
    </row>
    <row r="22" spans="1:36" s="155" customFormat="1" x14ac:dyDescent="0.3">
      <c r="A22" s="168"/>
      <c r="B22" s="169"/>
      <c r="C22" s="678" t="s">
        <v>52</v>
      </c>
      <c r="D22" s="678"/>
      <c r="E22" s="678"/>
      <c r="F22" s="678"/>
      <c r="G22" s="678"/>
      <c r="I22" s="182" t="s">
        <v>53</v>
      </c>
      <c r="J22" s="180"/>
      <c r="K22" s="182" t="s">
        <v>57</v>
      </c>
      <c r="L22" s="180"/>
      <c r="M22" s="175"/>
      <c r="N22" s="175"/>
      <c r="O22" s="175"/>
      <c r="P22" s="175"/>
      <c r="Q22" s="175"/>
      <c r="R22" s="175"/>
      <c r="S22" s="154"/>
      <c r="T22" s="154"/>
      <c r="U22" s="154"/>
      <c r="V22" s="175"/>
      <c r="W22" s="175"/>
      <c r="X22" s="175"/>
      <c r="Y22" s="154"/>
      <c r="Z22" s="168"/>
      <c r="AB22" s="156"/>
      <c r="AI22" s="149"/>
      <c r="AJ22" s="149"/>
    </row>
    <row r="23" spans="1:36" s="155" customFormat="1" x14ac:dyDescent="0.3">
      <c r="A23" s="168"/>
      <c r="B23" s="169">
        <f>B20+1</f>
        <v>12</v>
      </c>
      <c r="C23" s="662" t="s">
        <v>38</v>
      </c>
      <c r="D23" s="662"/>
      <c r="E23" s="662"/>
      <c r="F23" s="662"/>
      <c r="G23" s="662"/>
      <c r="I23" s="190">
        <f>'1.Input'!I19</f>
        <v>30</v>
      </c>
      <c r="J23" s="180"/>
      <c r="K23" s="190">
        <f>K12</f>
        <v>285408062.30763423</v>
      </c>
      <c r="L23" s="180"/>
      <c r="M23" s="154"/>
      <c r="N23" s="175"/>
      <c r="O23" s="175"/>
      <c r="P23" s="175"/>
      <c r="Q23" s="175"/>
      <c r="R23" s="175"/>
      <c r="S23" s="154"/>
      <c r="T23" s="154"/>
      <c r="U23" s="154"/>
      <c r="V23" s="154"/>
      <c r="W23" s="154"/>
      <c r="X23" s="154"/>
      <c r="Y23" s="154"/>
      <c r="Z23" s="168"/>
      <c r="AB23" s="156"/>
      <c r="AI23" s="149"/>
      <c r="AJ23" s="149"/>
    </row>
    <row r="24" spans="1:36" s="155" customFormat="1" x14ac:dyDescent="0.3">
      <c r="A24" s="168"/>
      <c r="B24" s="169">
        <f>B23+1</f>
        <v>13</v>
      </c>
      <c r="C24" s="662" t="s">
        <v>54</v>
      </c>
      <c r="D24" s="662"/>
      <c r="E24" s="662"/>
      <c r="F24" s="662"/>
      <c r="G24" s="662"/>
      <c r="I24" s="190">
        <v>15</v>
      </c>
      <c r="J24" s="180"/>
      <c r="K24" s="190">
        <v>0</v>
      </c>
      <c r="L24" s="180"/>
      <c r="M24" s="154"/>
      <c r="N24" s="175"/>
      <c r="O24" s="175"/>
      <c r="P24" s="175"/>
      <c r="Q24" s="175"/>
      <c r="R24" s="175"/>
      <c r="S24" s="154"/>
      <c r="T24" s="154"/>
      <c r="U24" s="154"/>
      <c r="V24" s="191"/>
      <c r="W24" s="154"/>
      <c r="X24" s="154"/>
      <c r="Y24" s="154"/>
      <c r="Z24" s="168"/>
      <c r="AB24" s="156"/>
      <c r="AI24" s="149"/>
      <c r="AJ24" s="149"/>
    </row>
    <row r="25" spans="1:36" s="155" customFormat="1" x14ac:dyDescent="0.3">
      <c r="A25" s="168"/>
      <c r="B25" s="169">
        <f t="shared" ref="B25:B26" si="15">B24+1</f>
        <v>14</v>
      </c>
      <c r="C25" s="662" t="s">
        <v>55</v>
      </c>
      <c r="D25" s="662"/>
      <c r="E25" s="662"/>
      <c r="F25" s="662"/>
      <c r="G25" s="662"/>
      <c r="I25" s="190">
        <v>5</v>
      </c>
      <c r="J25" s="180"/>
      <c r="K25" s="190">
        <f>K13*5%</f>
        <v>0</v>
      </c>
      <c r="L25" s="180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68"/>
      <c r="AB25" s="156"/>
      <c r="AI25" s="149"/>
      <c r="AJ25" s="149"/>
    </row>
    <row r="26" spans="1:36" s="155" customFormat="1" x14ac:dyDescent="0.3">
      <c r="A26" s="168"/>
      <c r="B26" s="169">
        <f t="shared" si="15"/>
        <v>15</v>
      </c>
      <c r="C26" s="662" t="s">
        <v>56</v>
      </c>
      <c r="D26" s="662"/>
      <c r="E26" s="662"/>
      <c r="F26" s="662"/>
      <c r="G26" s="662"/>
      <c r="I26" s="190">
        <v>8</v>
      </c>
      <c r="J26" s="180"/>
      <c r="K26" s="190">
        <f>Q13-K25</f>
        <v>0</v>
      </c>
      <c r="L26" s="180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68"/>
      <c r="AB26" s="156"/>
      <c r="AI26" s="149"/>
      <c r="AJ26" s="149"/>
    </row>
    <row r="27" spans="1:36" s="155" customFormat="1" x14ac:dyDescent="0.3">
      <c r="A27" s="168"/>
      <c r="B27" s="169"/>
      <c r="C27" s="189"/>
      <c r="D27" s="189"/>
      <c r="E27" s="189"/>
      <c r="F27" s="189"/>
      <c r="G27" s="189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68"/>
      <c r="AB27" s="156"/>
      <c r="AI27" s="149"/>
      <c r="AJ27" s="149"/>
    </row>
    <row r="28" spans="1:36" s="155" customFormat="1" x14ac:dyDescent="0.3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156"/>
      <c r="AI28" s="149"/>
      <c r="AJ28" s="149"/>
    </row>
    <row r="29" spans="1:36" s="155" customFormat="1" ht="13.5" x14ac:dyDescent="0.25">
      <c r="B29" s="150"/>
      <c r="M29" s="175"/>
      <c r="N29" s="175"/>
      <c r="O29" s="175"/>
      <c r="P29" s="175"/>
      <c r="Q29" s="175"/>
      <c r="R29" s="175"/>
      <c r="S29" s="154"/>
      <c r="T29" s="154"/>
      <c r="U29" s="154"/>
      <c r="V29" s="154"/>
      <c r="W29" s="154"/>
      <c r="X29" s="154"/>
      <c r="Y29" s="154"/>
      <c r="AB29" s="156"/>
    </row>
    <row r="30" spans="1:36" s="155" customFormat="1" ht="13.5" x14ac:dyDescent="0.25">
      <c r="B30" s="150"/>
      <c r="M30" s="154"/>
      <c r="N30" s="241"/>
      <c r="O30" s="241"/>
      <c r="P30" s="241"/>
      <c r="Q30" s="241"/>
      <c r="R30" s="241"/>
      <c r="S30" s="154"/>
      <c r="T30" s="154"/>
      <c r="U30" s="154"/>
      <c r="V30" s="154"/>
      <c r="W30" s="154"/>
      <c r="X30" s="154"/>
      <c r="Y30" s="154"/>
      <c r="AB30" s="156"/>
    </row>
    <row r="31" spans="1:36" s="155" customFormat="1" ht="13.5" x14ac:dyDescent="0.25">
      <c r="B31" s="150"/>
      <c r="M31" s="154"/>
      <c r="N31" s="241"/>
      <c r="O31" s="241"/>
      <c r="P31" s="241"/>
      <c r="Q31" s="241"/>
      <c r="R31" s="154"/>
      <c r="S31" s="154"/>
      <c r="T31" s="154"/>
      <c r="U31" s="154"/>
      <c r="V31" s="154"/>
      <c r="W31" s="154"/>
      <c r="X31" s="154"/>
      <c r="Y31" s="154"/>
      <c r="AB31" s="156"/>
    </row>
    <row r="32" spans="1:36" s="155" customFormat="1" ht="13.5" x14ac:dyDescent="0.25">
      <c r="B32" s="150"/>
      <c r="M32" s="154"/>
      <c r="N32" s="241"/>
      <c r="O32" s="241"/>
      <c r="P32" s="241"/>
      <c r="Q32" s="241"/>
      <c r="R32" s="154"/>
      <c r="S32" s="154"/>
      <c r="T32" s="154"/>
      <c r="U32" s="154"/>
      <c r="V32" s="175"/>
      <c r="W32" s="154"/>
      <c r="X32" s="154"/>
      <c r="Y32" s="154"/>
      <c r="AB32" s="156"/>
    </row>
    <row r="33" spans="2:28" s="155" customFormat="1" ht="13.5" x14ac:dyDescent="0.25">
      <c r="B33" s="150"/>
      <c r="K33" s="192"/>
      <c r="M33" s="154"/>
      <c r="N33" s="241"/>
      <c r="O33" s="241"/>
      <c r="P33" s="241"/>
      <c r="Q33" s="241"/>
      <c r="R33" s="154"/>
      <c r="S33" s="154"/>
      <c r="T33" s="154"/>
      <c r="U33" s="154"/>
      <c r="V33" s="154"/>
      <c r="W33" s="154"/>
      <c r="X33" s="154"/>
      <c r="Y33" s="154"/>
      <c r="AB33" s="156"/>
    </row>
    <row r="34" spans="2:28" s="155" customFormat="1" ht="13.5" x14ac:dyDescent="0.25">
      <c r="B34" s="150"/>
      <c r="M34" s="154"/>
      <c r="N34" s="241"/>
      <c r="O34" s="241"/>
      <c r="P34" s="241"/>
      <c r="Q34" s="241"/>
      <c r="R34" s="154"/>
      <c r="S34" s="154"/>
      <c r="T34" s="154"/>
      <c r="U34" s="154"/>
      <c r="V34" s="154"/>
      <c r="W34" s="154"/>
      <c r="X34" s="154"/>
      <c r="Y34" s="154"/>
      <c r="AB34" s="156"/>
    </row>
    <row r="35" spans="2:28" s="155" customFormat="1" ht="13.5" x14ac:dyDescent="0.25">
      <c r="B35" s="150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AB35" s="156"/>
    </row>
    <row r="36" spans="2:28" s="155" customFormat="1" ht="13.5" x14ac:dyDescent="0.25">
      <c r="B36" s="150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AB36" s="156"/>
    </row>
    <row r="37" spans="2:28" s="155" customFormat="1" ht="13.5" x14ac:dyDescent="0.25">
      <c r="B37" s="150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AB37" s="156"/>
    </row>
    <row r="38" spans="2:28" s="155" customFormat="1" ht="13.5" x14ac:dyDescent="0.25">
      <c r="B38" s="150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AB38" s="156"/>
    </row>
    <row r="39" spans="2:28" s="155" customFormat="1" ht="13.5" x14ac:dyDescent="0.25">
      <c r="B39" s="150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AB39" s="156"/>
    </row>
  </sheetData>
  <sheetProtection algorithmName="SHA-512" hashValue="553haImdAjljwpNXkT8cNXa5d9Mc/eXwQYrNYaviyBOqKnsdfr9GiXgHs0+1zKJ4PuZWfMvTpiPyndfqILT6Mg==" saltValue="jp25EuYGdVraRZzxq4/ZlQ==" spinCount="100000" sheet="1" objects="1" scenarios="1"/>
  <mergeCells count="23">
    <mergeCell ref="S3:X3"/>
    <mergeCell ref="M3:R3"/>
    <mergeCell ref="C24:G24"/>
    <mergeCell ref="M2:Q2"/>
    <mergeCell ref="K3:K4"/>
    <mergeCell ref="C22:G22"/>
    <mergeCell ref="C11:G11"/>
    <mergeCell ref="C12:G12"/>
    <mergeCell ref="C13:G13"/>
    <mergeCell ref="C14:G14"/>
    <mergeCell ref="C15:G15"/>
    <mergeCell ref="C25:G25"/>
    <mergeCell ref="C26:G26"/>
    <mergeCell ref="D3:I3"/>
    <mergeCell ref="D4:I4"/>
    <mergeCell ref="C8:H8"/>
    <mergeCell ref="C10:G10"/>
    <mergeCell ref="C23:G23"/>
    <mergeCell ref="C16:G16"/>
    <mergeCell ref="C17:G17"/>
    <mergeCell ref="C18:G18"/>
    <mergeCell ref="C19:G19"/>
    <mergeCell ref="C20:G20"/>
  </mergeCells>
  <pageMargins left="0.25" right="0.25" top="0.75" bottom="0.75" header="0.3" footer="0.3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D5DA-8B2E-469B-AF8F-1059CD9D680A}">
  <sheetPr>
    <pageSetUpPr fitToPage="1"/>
  </sheetPr>
  <dimension ref="A1:AV144"/>
  <sheetViews>
    <sheetView topLeftCell="A35" workbookViewId="0">
      <selection activeCell="P43" sqref="P43"/>
    </sheetView>
  </sheetViews>
  <sheetFormatPr defaultColWidth="9.140625" defaultRowHeight="16.5" outlineLevelRow="2" x14ac:dyDescent="0.3"/>
  <cols>
    <col min="1" max="1" width="3.85546875" style="38" customWidth="1"/>
    <col min="2" max="2" width="3.28515625" style="296" customWidth="1"/>
    <col min="3" max="3" width="13.7109375" style="38" customWidth="1"/>
    <col min="4" max="6" width="9.140625" style="38"/>
    <col min="7" max="7" width="14.85546875" style="38" customWidth="1"/>
    <col min="8" max="8" width="4" style="38" customWidth="1"/>
    <col min="9" max="9" width="12.28515625" style="38" customWidth="1"/>
    <col min="10" max="10" width="4" style="38" customWidth="1"/>
    <col min="11" max="11" width="10.42578125" style="38" customWidth="1"/>
    <col min="12" max="12" width="3.5703125" style="38" customWidth="1"/>
    <col min="13" max="45" width="12.7109375" style="38" customWidth="1"/>
    <col min="46" max="46" width="3.28515625" style="38" customWidth="1"/>
    <col min="47" max="47" width="4.5703125" style="38" customWidth="1"/>
    <col min="48" max="48" width="4.7109375" style="38" customWidth="1"/>
    <col min="49" max="16384" width="9.140625" style="38"/>
  </cols>
  <sheetData>
    <row r="1" spans="1:48" ht="15" customHeight="1" x14ac:dyDescent="0.3"/>
    <row r="2" spans="1:48" ht="15" customHeight="1" x14ac:dyDescent="0.3">
      <c r="M2" s="43"/>
      <c r="N2" s="43"/>
      <c r="O2" s="313">
        <v>0</v>
      </c>
      <c r="P2" s="313">
        <v>1</v>
      </c>
      <c r="Q2" s="313">
        <f>IF(AND(P2+1&lt;='1.Input'!$I$20,'5.O&amp;M'!P2&gt;0),'5.O&amp;M'!P2+1,0)</f>
        <v>2</v>
      </c>
      <c r="R2" s="313">
        <f>IF(AND(Q2+1&lt;='1.Input'!$I$20,'5.O&amp;M'!Q2&gt;0),'5.O&amp;M'!Q2+1,0)</f>
        <v>3</v>
      </c>
      <c r="S2" s="313">
        <f>IF(AND(R2+1&lt;='1.Input'!$I$20,'5.O&amp;M'!R2&gt;0),'5.O&amp;M'!R2+1,0)</f>
        <v>4</v>
      </c>
      <c r="T2" s="313">
        <f>IF(AND(S2+1&lt;='1.Input'!$I$20,'5.O&amp;M'!S2&gt;0),'5.O&amp;M'!S2+1,0)</f>
        <v>5</v>
      </c>
      <c r="U2" s="313">
        <f>IF(AND(T2+1&lt;='1.Input'!$I$20,'5.O&amp;M'!T2&gt;0),'5.O&amp;M'!T2+1,0)</f>
        <v>6</v>
      </c>
      <c r="V2" s="313">
        <f>IF(AND(U2+1&lt;='1.Input'!$I$20,'5.O&amp;M'!U2&gt;0),'5.O&amp;M'!U2+1,0)</f>
        <v>7</v>
      </c>
      <c r="W2" s="313">
        <f>IF(AND(V2+1&lt;='1.Input'!$I$20,'5.O&amp;M'!V2&gt;0),'5.O&amp;M'!V2+1,0)</f>
        <v>8</v>
      </c>
      <c r="X2" s="313">
        <f>IF(AND(W2+1&lt;='1.Input'!$I$20,'5.O&amp;M'!W2&gt;0),'5.O&amp;M'!W2+1,0)</f>
        <v>9</v>
      </c>
      <c r="Y2" s="313">
        <f>IF(AND(X2+1&lt;='1.Input'!$I$20,'5.O&amp;M'!X2&gt;0),'5.O&amp;M'!X2+1,0)</f>
        <v>10</v>
      </c>
      <c r="Z2" s="313">
        <f>IF(AND(Y2+1&lt;='1.Input'!$I$20,'5.O&amp;M'!Y2&gt;0),'5.O&amp;M'!Y2+1,0)</f>
        <v>11</v>
      </c>
      <c r="AA2" s="313">
        <f>IF(AND(Z2+1&lt;='1.Input'!$I$20,'5.O&amp;M'!Z2&gt;0),'5.O&amp;M'!Z2+1,0)</f>
        <v>12</v>
      </c>
      <c r="AB2" s="313">
        <f>IF(AND(AA2+1&lt;='1.Input'!$I$20,'5.O&amp;M'!AA2&gt;0),'5.O&amp;M'!AA2+1,0)</f>
        <v>13</v>
      </c>
      <c r="AC2" s="313">
        <f>IF(AND(AB2+1&lt;='1.Input'!$I$20,'5.O&amp;M'!AB2&gt;0),'5.O&amp;M'!AB2+1,0)</f>
        <v>14</v>
      </c>
      <c r="AD2" s="313">
        <f>IF(AND(AC2+1&lt;='1.Input'!$I$20,'5.O&amp;M'!AC2&gt;0),'5.O&amp;M'!AC2+1,0)</f>
        <v>15</v>
      </c>
      <c r="AE2" s="313">
        <f>IF(AND(AD2+1&lt;='1.Input'!$I$20,'5.O&amp;M'!AD2&gt;0),'5.O&amp;M'!AD2+1,0)</f>
        <v>16</v>
      </c>
      <c r="AF2" s="313">
        <f>IF(AND(AE2+1&lt;='1.Input'!$I$20,'5.O&amp;M'!AE2&gt;0),'5.O&amp;M'!AE2+1,0)</f>
        <v>17</v>
      </c>
      <c r="AG2" s="313">
        <f>IF(AND(AF2+1&lt;='1.Input'!$I$20,'5.O&amp;M'!AF2&gt;0),'5.O&amp;M'!AF2+1,0)</f>
        <v>18</v>
      </c>
      <c r="AH2" s="313">
        <f>IF(AND(AG2+1&lt;='1.Input'!$I$20,'5.O&amp;M'!AG2&gt;0),'5.O&amp;M'!AG2+1,0)</f>
        <v>19</v>
      </c>
      <c r="AI2" s="313">
        <f>IF(AND(AH2+1&lt;='1.Input'!$I$20,'5.O&amp;M'!AH2&gt;0),'5.O&amp;M'!AH2+1,0)</f>
        <v>20</v>
      </c>
      <c r="AJ2" s="313">
        <f>IF(AND(AI2+1&lt;='1.Input'!$I$20,'5.O&amp;M'!AI2&gt;0),'5.O&amp;M'!AI2+1,0)</f>
        <v>21</v>
      </c>
      <c r="AK2" s="313">
        <f>IF(AND(AJ2+1&lt;='1.Input'!$I$20,'5.O&amp;M'!AJ2&gt;0),'5.O&amp;M'!AJ2+1,0)</f>
        <v>22</v>
      </c>
      <c r="AL2" s="313">
        <f>IF(AND(AK2+1&lt;='1.Input'!$I$20,'5.O&amp;M'!AK2&gt;0),'5.O&amp;M'!AK2+1,0)</f>
        <v>23</v>
      </c>
      <c r="AM2" s="313">
        <f>IF(AND(AL2+1&lt;='1.Input'!$I$20,'5.O&amp;M'!AL2&gt;0),'5.O&amp;M'!AL2+1,0)</f>
        <v>24</v>
      </c>
      <c r="AN2" s="313">
        <f>IF(AND(AM2+1&lt;='1.Input'!$I$20,'5.O&amp;M'!AM2&gt;0),'5.O&amp;M'!AM2+1,0)</f>
        <v>25</v>
      </c>
      <c r="AO2" s="313">
        <f>IF(AND(AN2+1&lt;='1.Input'!$I$20,'5.O&amp;M'!AN2&gt;0),'5.O&amp;M'!AN2+1,0)</f>
        <v>26</v>
      </c>
      <c r="AP2" s="313">
        <f>IF(AND(AO2+1&lt;='1.Input'!$I$20,'5.O&amp;M'!AO2&gt;0),'5.O&amp;M'!AO2+1,0)</f>
        <v>27</v>
      </c>
      <c r="AQ2" s="313">
        <f>IF(AND(AP2+1&lt;='1.Input'!$I$20,'5.O&amp;M'!AP2&gt;0),'5.O&amp;M'!AP2+1,0)</f>
        <v>28</v>
      </c>
      <c r="AR2" s="313">
        <f>IF(AND(AQ2+1&lt;='1.Input'!$I$20,'5.O&amp;M'!AQ2&gt;0),'5.O&amp;M'!AQ2+1,0)</f>
        <v>29</v>
      </c>
      <c r="AS2" s="313">
        <f>IF(AND(AR2+1&lt;='1.Input'!$I$20,'5.O&amp;M'!AR2&gt;0),'5.O&amp;M'!AR2+1,0)</f>
        <v>30</v>
      </c>
      <c r="AT2" s="43"/>
      <c r="AU2" s="43"/>
    </row>
    <row r="3" spans="1:48" ht="22.5" customHeight="1" x14ac:dyDescent="0.3">
      <c r="C3" s="297" t="s">
        <v>0</v>
      </c>
      <c r="D3" s="687" t="str">
        <f>'4.Investitie'!D3</f>
        <v>PRIMARIA MUNICIPIULUI SUCEAVA</v>
      </c>
      <c r="E3" s="687"/>
      <c r="F3" s="687"/>
      <c r="G3" s="687"/>
      <c r="H3" s="687"/>
      <c r="I3" s="687"/>
      <c r="J3" s="298"/>
      <c r="K3" s="298"/>
      <c r="L3" s="298"/>
      <c r="M3" s="622" t="s">
        <v>3</v>
      </c>
      <c r="N3" s="623"/>
      <c r="O3" s="299" t="s">
        <v>17</v>
      </c>
      <c r="P3" s="613" t="s">
        <v>18</v>
      </c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314"/>
      <c r="AU3" s="43"/>
    </row>
    <row r="4" spans="1:48" ht="27.75" customHeight="1" x14ac:dyDescent="0.3">
      <c r="C4" s="297" t="s">
        <v>1</v>
      </c>
      <c r="D4" s="664" t="str">
        <f>'4.Investitie'!D4</f>
        <v>Reabilitarea sistemului de transport și distribuție energie termică în municipiul Suceava</v>
      </c>
      <c r="E4" s="664"/>
      <c r="F4" s="664"/>
      <c r="G4" s="664"/>
      <c r="H4" s="664"/>
      <c r="I4" s="664"/>
      <c r="J4" s="298"/>
      <c r="K4" s="298"/>
      <c r="L4" s="298"/>
      <c r="M4" s="40">
        <f>'1.Input'!M4</f>
        <v>2021</v>
      </c>
      <c r="N4" s="40">
        <f>'1.Input'!N4</f>
        <v>2022</v>
      </c>
      <c r="O4" s="40">
        <f>'1.Input'!O4</f>
        <v>2023</v>
      </c>
      <c r="P4" s="40">
        <f>'1.Input'!P4</f>
        <v>2024</v>
      </c>
      <c r="Q4" s="40">
        <f>'1.Input'!Q4</f>
        <v>2025</v>
      </c>
      <c r="R4" s="40">
        <f>'1.Input'!R4</f>
        <v>2026</v>
      </c>
      <c r="S4" s="40">
        <f>'1.Input'!S4</f>
        <v>2027</v>
      </c>
      <c r="T4" s="40">
        <f>'1.Input'!T4</f>
        <v>2028</v>
      </c>
      <c r="U4" s="40">
        <f>'1.Input'!U4</f>
        <v>2029</v>
      </c>
      <c r="V4" s="40">
        <f>'1.Input'!V4</f>
        <v>2030</v>
      </c>
      <c r="W4" s="40">
        <f>'1.Input'!W4</f>
        <v>2031</v>
      </c>
      <c r="X4" s="40">
        <f>'1.Input'!X4</f>
        <v>2032</v>
      </c>
      <c r="Y4" s="40">
        <f>'1.Input'!Y4</f>
        <v>2033</v>
      </c>
      <c r="Z4" s="40">
        <f>'1.Input'!Z4</f>
        <v>2034</v>
      </c>
      <c r="AA4" s="40">
        <f>'1.Input'!AA4</f>
        <v>2035</v>
      </c>
      <c r="AB4" s="40">
        <f>'1.Input'!AB4</f>
        <v>2036</v>
      </c>
      <c r="AC4" s="40">
        <f>'1.Input'!AC4</f>
        <v>2037</v>
      </c>
      <c r="AD4" s="40">
        <f>'1.Input'!AD4</f>
        <v>2038</v>
      </c>
      <c r="AE4" s="40">
        <f>'1.Input'!AE4</f>
        <v>2039</v>
      </c>
      <c r="AF4" s="40">
        <f>'1.Input'!AF4</f>
        <v>2040</v>
      </c>
      <c r="AG4" s="40">
        <f>'1.Input'!AG4</f>
        <v>2041</v>
      </c>
      <c r="AH4" s="40">
        <f>'1.Input'!AH4</f>
        <v>2042</v>
      </c>
      <c r="AI4" s="40">
        <f>'1.Input'!AI4</f>
        <v>2043</v>
      </c>
      <c r="AJ4" s="40">
        <f>'1.Input'!AJ4</f>
        <v>2044</v>
      </c>
      <c r="AK4" s="40">
        <f>'1.Input'!AK4</f>
        <v>2045</v>
      </c>
      <c r="AL4" s="40">
        <f>'1.Input'!AL4</f>
        <v>2046</v>
      </c>
      <c r="AM4" s="40">
        <f>'1.Input'!AM4</f>
        <v>2047</v>
      </c>
      <c r="AN4" s="40">
        <f>'1.Input'!AN4</f>
        <v>2048</v>
      </c>
      <c r="AO4" s="40">
        <f>'1.Input'!AO4</f>
        <v>2049</v>
      </c>
      <c r="AP4" s="40">
        <f>'1.Input'!AP4</f>
        <v>2050</v>
      </c>
      <c r="AQ4" s="40">
        <f>'1.Input'!AQ4</f>
        <v>2051</v>
      </c>
      <c r="AR4" s="40">
        <f>'1.Input'!AR4</f>
        <v>2052</v>
      </c>
      <c r="AS4" s="40">
        <f>'1.Input'!AS4</f>
        <v>2053</v>
      </c>
      <c r="AT4" s="50"/>
      <c r="AU4" s="43"/>
    </row>
    <row r="7" spans="1:48" ht="17.25" thickBo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8" ht="15.75" customHeight="1" thickBot="1" x14ac:dyDescent="0.35">
      <c r="A8" s="41"/>
      <c r="B8" s="41"/>
      <c r="C8" s="615" t="s">
        <v>33</v>
      </c>
      <c r="D8" s="616"/>
      <c r="E8" s="616"/>
      <c r="F8" s="616"/>
      <c r="G8" s="616"/>
      <c r="H8" s="61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8" s="43" customFormat="1" ht="17.25" thickBot="1" x14ac:dyDescent="0.35">
      <c r="A9" s="41"/>
      <c r="B9" s="296"/>
      <c r="C9" s="42"/>
      <c r="D9" s="42"/>
      <c r="E9" s="42"/>
      <c r="F9" s="42"/>
      <c r="G9" s="42"/>
      <c r="AU9" s="41"/>
      <c r="AV9" s="38"/>
    </row>
    <row r="10" spans="1:48" s="43" customFormat="1" ht="27" customHeight="1" thickBot="1" x14ac:dyDescent="0.35">
      <c r="A10" s="41"/>
      <c r="B10" s="296"/>
      <c r="C10" s="684" t="s">
        <v>351</v>
      </c>
      <c r="D10" s="685"/>
      <c r="E10" s="685"/>
      <c r="F10" s="685"/>
      <c r="G10" s="686"/>
      <c r="AU10" s="41"/>
      <c r="AV10" s="38"/>
    </row>
    <row r="11" spans="1:48" s="43" customFormat="1" hidden="1" outlineLevel="1" x14ac:dyDescent="0.3">
      <c r="A11" s="41"/>
      <c r="B11" s="300">
        <v>1</v>
      </c>
      <c r="C11" s="605" t="s">
        <v>61</v>
      </c>
      <c r="D11" s="606"/>
      <c r="E11" s="606"/>
      <c r="F11" s="606"/>
      <c r="G11" s="607"/>
      <c r="I11" s="315" t="s">
        <v>59</v>
      </c>
      <c r="M11" s="316">
        <f>M12*M13</f>
        <v>6394921</v>
      </c>
      <c r="N11" s="316">
        <f t="shared" ref="N11:AH11" si="0">N12*N13</f>
        <v>6754571.3570399992</v>
      </c>
      <c r="O11" s="316">
        <f t="shared" si="0"/>
        <v>6957208.4977511996</v>
      </c>
      <c r="P11" s="316">
        <f t="shared" si="0"/>
        <v>7172881.961181487</v>
      </c>
      <c r="Q11" s="316">
        <f t="shared" si="0"/>
        <v>7445451.4757063836</v>
      </c>
      <c r="R11" s="316">
        <f t="shared" si="0"/>
        <v>7750714.9862103453</v>
      </c>
      <c r="S11" s="316">
        <f t="shared" si="0"/>
        <v>8037491.4407001268</v>
      </c>
      <c r="T11" s="316">
        <f t="shared" si="0"/>
        <v>8318803.6411246303</v>
      </c>
      <c r="U11" s="316">
        <f t="shared" si="0"/>
        <v>8568367.7503583692</v>
      </c>
      <c r="V11" s="316">
        <f t="shared" si="0"/>
        <v>8825418.7828691211</v>
      </c>
      <c r="W11" s="316">
        <f t="shared" si="0"/>
        <v>9090181.3463551942</v>
      </c>
      <c r="X11" s="316">
        <f t="shared" si="0"/>
        <v>9362886.78674585</v>
      </c>
      <c r="Y11" s="316">
        <f t="shared" si="0"/>
        <v>9643773.3903482258</v>
      </c>
      <c r="Z11" s="316">
        <f t="shared" si="0"/>
        <v>9933086.5920586735</v>
      </c>
      <c r="AA11" s="316">
        <f t="shared" si="0"/>
        <v>10231079.189820433</v>
      </c>
      <c r="AB11" s="316">
        <f t="shared" si="0"/>
        <v>10538011.565515047</v>
      </c>
      <c r="AC11" s="316">
        <f t="shared" si="0"/>
        <v>10854151.9124805</v>
      </c>
      <c r="AD11" s="316">
        <f t="shared" si="0"/>
        <v>11179776.469854916</v>
      </c>
      <c r="AE11" s="316">
        <f t="shared" si="0"/>
        <v>11515169.763950562</v>
      </c>
      <c r="AF11" s="316">
        <f t="shared" si="0"/>
        <v>11860624.856869079</v>
      </c>
      <c r="AG11" s="316">
        <f t="shared" si="0"/>
        <v>12216443.602575151</v>
      </c>
      <c r="AH11" s="316">
        <f t="shared" si="0"/>
        <v>12582936.910652407</v>
      </c>
      <c r="AI11" s="316">
        <f t="shared" ref="AI11" si="1">AI12*AI13</f>
        <v>12960425.017971979</v>
      </c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U11" s="41"/>
      <c r="AV11" s="38"/>
    </row>
    <row r="12" spans="1:48" s="43" customFormat="1" hidden="1" outlineLevel="2" x14ac:dyDescent="0.3">
      <c r="A12" s="41"/>
      <c r="B12" s="300">
        <f>B11+1</f>
        <v>2</v>
      </c>
      <c r="C12" s="688" t="s">
        <v>365</v>
      </c>
      <c r="D12" s="689"/>
      <c r="E12" s="689"/>
      <c r="F12" s="689"/>
      <c r="G12" s="690"/>
      <c r="I12" s="315" t="s">
        <v>367</v>
      </c>
      <c r="M12" s="316">
        <f>M80</f>
        <v>50</v>
      </c>
      <c r="N12" s="316">
        <f t="shared" ref="N12:AH12" si="2">N80</f>
        <v>54</v>
      </c>
      <c r="O12" s="316">
        <f t="shared" si="2"/>
        <v>54</v>
      </c>
      <c r="P12" s="316">
        <f t="shared" si="2"/>
        <v>54</v>
      </c>
      <c r="Q12" s="316">
        <f t="shared" si="2"/>
        <v>54</v>
      </c>
      <c r="R12" s="316">
        <f t="shared" si="2"/>
        <v>54</v>
      </c>
      <c r="S12" s="316">
        <f t="shared" si="2"/>
        <v>54</v>
      </c>
      <c r="T12" s="316">
        <f t="shared" si="2"/>
        <v>54</v>
      </c>
      <c r="U12" s="316">
        <f t="shared" si="2"/>
        <v>54</v>
      </c>
      <c r="V12" s="316">
        <f t="shared" si="2"/>
        <v>54</v>
      </c>
      <c r="W12" s="316">
        <f t="shared" si="2"/>
        <v>54</v>
      </c>
      <c r="X12" s="316">
        <f t="shared" si="2"/>
        <v>54</v>
      </c>
      <c r="Y12" s="316">
        <f t="shared" si="2"/>
        <v>54</v>
      </c>
      <c r="Z12" s="316">
        <f t="shared" si="2"/>
        <v>54</v>
      </c>
      <c r="AA12" s="316">
        <f t="shared" si="2"/>
        <v>54</v>
      </c>
      <c r="AB12" s="316">
        <f t="shared" si="2"/>
        <v>54</v>
      </c>
      <c r="AC12" s="316">
        <f t="shared" si="2"/>
        <v>54</v>
      </c>
      <c r="AD12" s="316">
        <f t="shared" si="2"/>
        <v>54</v>
      </c>
      <c r="AE12" s="316">
        <f t="shared" si="2"/>
        <v>54</v>
      </c>
      <c r="AF12" s="316">
        <f t="shared" si="2"/>
        <v>54</v>
      </c>
      <c r="AG12" s="316">
        <f t="shared" si="2"/>
        <v>54</v>
      </c>
      <c r="AH12" s="316">
        <f t="shared" si="2"/>
        <v>54</v>
      </c>
      <c r="AI12" s="316">
        <f t="shared" ref="AI12" si="3">AI80</f>
        <v>54</v>
      </c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U12" s="41"/>
      <c r="AV12" s="38"/>
    </row>
    <row r="13" spans="1:48" s="43" customFormat="1" hidden="1" outlineLevel="2" x14ac:dyDescent="0.3">
      <c r="A13" s="41"/>
      <c r="B13" s="300">
        <f>B12+1</f>
        <v>3</v>
      </c>
      <c r="C13" s="688" t="s">
        <v>366</v>
      </c>
      <c r="D13" s="689"/>
      <c r="E13" s="689"/>
      <c r="F13" s="689"/>
      <c r="G13" s="690"/>
      <c r="I13" s="315" t="s">
        <v>369</v>
      </c>
      <c r="M13" s="316">
        <f>M81</f>
        <v>127898.42</v>
      </c>
      <c r="N13" s="316">
        <f t="shared" ref="N13:AH13" si="4">N81</f>
        <v>125084.65475999999</v>
      </c>
      <c r="O13" s="316">
        <f t="shared" si="4"/>
        <v>128837.1944028</v>
      </c>
      <c r="P13" s="316">
        <f t="shared" si="4"/>
        <v>132831.14742928679</v>
      </c>
      <c r="Q13" s="316">
        <f t="shared" si="4"/>
        <v>137878.73103159969</v>
      </c>
      <c r="R13" s="316">
        <f t="shared" si="4"/>
        <v>143531.75900389528</v>
      </c>
      <c r="S13" s="316">
        <f t="shared" si="4"/>
        <v>148842.43408703938</v>
      </c>
      <c r="T13" s="316">
        <f t="shared" si="4"/>
        <v>154051.91928008574</v>
      </c>
      <c r="U13" s="316">
        <f t="shared" si="4"/>
        <v>158673.47685848831</v>
      </c>
      <c r="V13" s="316">
        <f t="shared" si="4"/>
        <v>163433.68116424297</v>
      </c>
      <c r="W13" s="316">
        <f t="shared" si="4"/>
        <v>168336.69159917027</v>
      </c>
      <c r="X13" s="316">
        <f t="shared" si="4"/>
        <v>173386.79234714538</v>
      </c>
      <c r="Y13" s="316">
        <f t="shared" si="4"/>
        <v>178588.39611755975</v>
      </c>
      <c r="Z13" s="316">
        <f t="shared" si="4"/>
        <v>183946.04800108654</v>
      </c>
      <c r="AA13" s="316">
        <f t="shared" si="4"/>
        <v>189464.42944111914</v>
      </c>
      <c r="AB13" s="316">
        <f t="shared" si="4"/>
        <v>195148.36232435273</v>
      </c>
      <c r="AC13" s="316">
        <f t="shared" si="4"/>
        <v>201002.81319408331</v>
      </c>
      <c r="AD13" s="316">
        <f t="shared" si="4"/>
        <v>207032.89758990583</v>
      </c>
      <c r="AE13" s="316">
        <f t="shared" si="4"/>
        <v>213243.884517603</v>
      </c>
      <c r="AF13" s="316">
        <f t="shared" si="4"/>
        <v>219641.20105313111</v>
      </c>
      <c r="AG13" s="316">
        <f t="shared" si="4"/>
        <v>226230.43708472504</v>
      </c>
      <c r="AH13" s="316">
        <f t="shared" si="4"/>
        <v>233017.35019726679</v>
      </c>
      <c r="AI13" s="316">
        <f t="shared" ref="AI13" si="5">AI81</f>
        <v>240007.8707031848</v>
      </c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U13" s="41"/>
      <c r="AV13" s="38"/>
    </row>
    <row r="14" spans="1:48" s="317" customFormat="1" hidden="1" outlineLevel="1" x14ac:dyDescent="0.3">
      <c r="A14" s="41"/>
      <c r="B14" s="300">
        <f>B13+1</f>
        <v>4</v>
      </c>
      <c r="C14" s="608" t="s">
        <v>529</v>
      </c>
      <c r="D14" s="608"/>
      <c r="E14" s="608"/>
      <c r="F14" s="608"/>
      <c r="G14" s="608"/>
      <c r="I14" s="315" t="s">
        <v>59</v>
      </c>
      <c r="J14" s="318"/>
      <c r="K14" s="318"/>
      <c r="L14" s="318"/>
      <c r="M14" s="319" t="e">
        <f>M15*M16+M17*M18</f>
        <v>#REF!</v>
      </c>
      <c r="N14" s="319" t="e">
        <f t="shared" ref="N14:AH14" si="6">N15*N16+N17*N18</f>
        <v>#REF!</v>
      </c>
      <c r="O14" s="319" t="e">
        <f t="shared" si="6"/>
        <v>#REF!</v>
      </c>
      <c r="P14" s="319" t="e">
        <f t="shared" si="6"/>
        <v>#REF!</v>
      </c>
      <c r="Q14" s="319" t="e">
        <f t="shared" si="6"/>
        <v>#REF!</v>
      </c>
      <c r="R14" s="319" t="e">
        <f t="shared" si="6"/>
        <v>#REF!</v>
      </c>
      <c r="S14" s="319" t="e">
        <f t="shared" si="6"/>
        <v>#REF!</v>
      </c>
      <c r="T14" s="319" t="e">
        <f t="shared" si="6"/>
        <v>#REF!</v>
      </c>
      <c r="U14" s="319" t="e">
        <f t="shared" si="6"/>
        <v>#REF!</v>
      </c>
      <c r="V14" s="319" t="e">
        <f t="shared" si="6"/>
        <v>#REF!</v>
      </c>
      <c r="W14" s="319" t="e">
        <f t="shared" si="6"/>
        <v>#REF!</v>
      </c>
      <c r="X14" s="319" t="e">
        <f t="shared" si="6"/>
        <v>#REF!</v>
      </c>
      <c r="Y14" s="319" t="e">
        <f t="shared" si="6"/>
        <v>#REF!</v>
      </c>
      <c r="Z14" s="319" t="e">
        <f t="shared" si="6"/>
        <v>#REF!</v>
      </c>
      <c r="AA14" s="319" t="e">
        <f t="shared" si="6"/>
        <v>#REF!</v>
      </c>
      <c r="AB14" s="319" t="e">
        <f t="shared" si="6"/>
        <v>#REF!</v>
      </c>
      <c r="AC14" s="319" t="e">
        <f t="shared" si="6"/>
        <v>#REF!</v>
      </c>
      <c r="AD14" s="319" t="e">
        <f t="shared" si="6"/>
        <v>#REF!</v>
      </c>
      <c r="AE14" s="319" t="e">
        <f t="shared" si="6"/>
        <v>#REF!</v>
      </c>
      <c r="AF14" s="319" t="e">
        <f t="shared" si="6"/>
        <v>#REF!</v>
      </c>
      <c r="AG14" s="319" t="e">
        <f t="shared" si="6"/>
        <v>#REF!</v>
      </c>
      <c r="AH14" s="319" t="e">
        <f t="shared" si="6"/>
        <v>#REF!</v>
      </c>
      <c r="AI14" s="319" t="e">
        <f t="shared" ref="AI14" si="7">AI15*AI16+AI17*AI18</f>
        <v>#REF!</v>
      </c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U14" s="41"/>
      <c r="AV14" s="320"/>
    </row>
    <row r="15" spans="1:48" s="317" customFormat="1" hidden="1" outlineLevel="2" x14ac:dyDescent="0.3">
      <c r="A15" s="41"/>
      <c r="B15" s="300">
        <f t="shared" ref="B15:B30" si="8">B14+1</f>
        <v>5</v>
      </c>
      <c r="C15" s="688" t="s">
        <v>357</v>
      </c>
      <c r="D15" s="689"/>
      <c r="E15" s="689"/>
      <c r="F15" s="689"/>
      <c r="G15" s="690"/>
      <c r="I15" s="315" t="s">
        <v>359</v>
      </c>
      <c r="J15" s="318"/>
      <c r="K15" s="318"/>
      <c r="L15" s="318"/>
      <c r="M15" s="319" t="e">
        <f>M83</f>
        <v>#REF!</v>
      </c>
      <c r="N15" s="319" t="e">
        <f t="shared" ref="N15:P15" si="9">N83</f>
        <v>#REF!</v>
      </c>
      <c r="O15" s="319">
        <f t="shared" si="9"/>
        <v>170679.01234567902</v>
      </c>
      <c r="P15" s="319">
        <f t="shared" si="9"/>
        <v>170679.01234567902</v>
      </c>
      <c r="Q15" s="319">
        <f>Q83</f>
        <v>170679.01234567902</v>
      </c>
      <c r="R15" s="319">
        <f>'3.BilantPRO'!L52*1000/'1.Input'!$K$63*'1.Input'!$K$61</f>
        <v>169698.45679012345</v>
      </c>
      <c r="S15" s="319">
        <f>'3.BilantPRO'!M52*1000/'1.Input'!$K$63*'1.Input'!$K$61</f>
        <v>168001.23456790127</v>
      </c>
      <c r="T15" s="319">
        <f>'3.BilantPRO'!N52*1000/'1.Input'!$K$63*'1.Input'!$K$61</f>
        <v>166215.12345679017</v>
      </c>
      <c r="U15" s="319">
        <f>'3.BilantPRO'!O52*1000/'1.Input'!$K$63*'1.Input'!$K$61</f>
        <v>166215.12345679017</v>
      </c>
      <c r="V15" s="319">
        <f>'3.BilantPRO'!P52*1000/'1.Input'!$K$63*'1.Input'!$K$61</f>
        <v>166215.12345679017</v>
      </c>
      <c r="W15" s="319">
        <f>'3.BilantPRO'!Q52*1000/'1.Input'!$K$63*'1.Input'!$K$61</f>
        <v>166215.12345679017</v>
      </c>
      <c r="X15" s="319">
        <f>'3.BilantPRO'!R52*1000/'1.Input'!$K$63*'1.Input'!$K$61</f>
        <v>166215.12345679017</v>
      </c>
      <c r="Y15" s="319">
        <f>'3.BilantPRO'!S52*1000/'1.Input'!$K$63*'1.Input'!$K$61</f>
        <v>166215.12345679017</v>
      </c>
      <c r="Z15" s="319">
        <f>'3.BilantPRO'!T52*1000/'1.Input'!$K$63*'1.Input'!$K$61</f>
        <v>166215.12345679017</v>
      </c>
      <c r="AA15" s="319">
        <f>'3.BilantPRO'!U52*1000/'1.Input'!$K$63*'1.Input'!$K$61</f>
        <v>166215.12345679017</v>
      </c>
      <c r="AB15" s="319">
        <f>'3.BilantPRO'!V52*1000/'1.Input'!$K$63*'1.Input'!$K$61</f>
        <v>166215.12345679017</v>
      </c>
      <c r="AC15" s="319">
        <f>'3.BilantPRO'!W52*1000/'1.Input'!$K$63*'1.Input'!$K$61</f>
        <v>166215.12345679017</v>
      </c>
      <c r="AD15" s="319">
        <f>'3.BilantPRO'!X52*1000/'1.Input'!$K$63*'1.Input'!$K$61</f>
        <v>166215.12345679017</v>
      </c>
      <c r="AE15" s="319">
        <f>'3.BilantPRO'!Y52*1000/'1.Input'!$K$63*'1.Input'!$K$61</f>
        <v>166215.12345679017</v>
      </c>
      <c r="AF15" s="319">
        <f>'3.BilantPRO'!Z52*1000/'1.Input'!$K$63*'1.Input'!$K$61</f>
        <v>166215.12345679017</v>
      </c>
      <c r="AG15" s="319">
        <f>'3.BilantPRO'!AA52*1000/'1.Input'!$K$63*'1.Input'!$K$61</f>
        <v>166215.12345679017</v>
      </c>
      <c r="AH15" s="319">
        <f>'3.BilantPRO'!AB52*1000/'1.Input'!$K$63*'1.Input'!$K$61</f>
        <v>166215.12345679017</v>
      </c>
      <c r="AI15" s="319">
        <f>'3.BilantPRO'!AC52*1000/'1.Input'!$K$63*'1.Input'!$K$61</f>
        <v>166215.12345679017</v>
      </c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U15" s="41"/>
      <c r="AV15" s="320"/>
    </row>
    <row r="16" spans="1:48" s="317" customFormat="1" hidden="1" outlineLevel="2" x14ac:dyDescent="0.3">
      <c r="A16" s="41"/>
      <c r="B16" s="300">
        <f t="shared" si="8"/>
        <v>6</v>
      </c>
      <c r="C16" s="688" t="s">
        <v>358</v>
      </c>
      <c r="D16" s="689"/>
      <c r="E16" s="689"/>
      <c r="F16" s="689"/>
      <c r="G16" s="690"/>
      <c r="I16" s="315" t="s">
        <v>144</v>
      </c>
      <c r="J16" s="318"/>
      <c r="K16" s="318"/>
      <c r="L16" s="318"/>
      <c r="M16" s="319">
        <f>M84</f>
        <v>0</v>
      </c>
      <c r="N16" s="319">
        <f t="shared" ref="N16:AH16" si="10">N84</f>
        <v>0</v>
      </c>
      <c r="O16" s="319">
        <f t="shared" si="10"/>
        <v>310.92436974789916</v>
      </c>
      <c r="P16" s="319">
        <f t="shared" si="10"/>
        <v>310.92436974789916</v>
      </c>
      <c r="Q16" s="319">
        <f t="shared" si="10"/>
        <v>232.57017182035796</v>
      </c>
      <c r="R16" s="319">
        <f t="shared" si="10"/>
        <v>216.1709930381532</v>
      </c>
      <c r="S16" s="319">
        <f t="shared" si="10"/>
        <v>199.7718142559485</v>
      </c>
      <c r="T16" s="319">
        <f t="shared" si="10"/>
        <v>183.37263547374377</v>
      </c>
      <c r="U16" s="319">
        <f t="shared" si="10"/>
        <v>166.97345669153907</v>
      </c>
      <c r="V16" s="319">
        <f t="shared" si="10"/>
        <v>150.57427790933434</v>
      </c>
      <c r="W16" s="319">
        <f t="shared" si="10"/>
        <v>134.17509912712956</v>
      </c>
      <c r="X16" s="319">
        <f t="shared" si="10"/>
        <v>130.59709648373945</v>
      </c>
      <c r="Y16" s="319">
        <f t="shared" si="10"/>
        <v>127.01909384034933</v>
      </c>
      <c r="Z16" s="319">
        <f t="shared" si="10"/>
        <v>123.44109119695919</v>
      </c>
      <c r="AA16" s="319">
        <f t="shared" si="10"/>
        <v>119.86308855356907</v>
      </c>
      <c r="AB16" s="319">
        <f t="shared" si="10"/>
        <v>116.28508591017896</v>
      </c>
      <c r="AC16" s="319">
        <f t="shared" si="10"/>
        <v>116.28508591017896</v>
      </c>
      <c r="AD16" s="319">
        <f t="shared" si="10"/>
        <v>116.28508591017896</v>
      </c>
      <c r="AE16" s="319">
        <f t="shared" si="10"/>
        <v>116.28508591017896</v>
      </c>
      <c r="AF16" s="319">
        <f t="shared" si="10"/>
        <v>116.28508591017896</v>
      </c>
      <c r="AG16" s="319">
        <f t="shared" si="10"/>
        <v>116.28508591017896</v>
      </c>
      <c r="AH16" s="319">
        <f t="shared" si="10"/>
        <v>116.28508591017896</v>
      </c>
      <c r="AI16" s="319">
        <f t="shared" ref="AI16" si="11">AI84</f>
        <v>116.28508591017896</v>
      </c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U16" s="41"/>
      <c r="AV16" s="320"/>
    </row>
    <row r="17" spans="1:48" s="317" customFormat="1" hidden="1" outlineLevel="2" x14ac:dyDescent="0.3">
      <c r="A17" s="41"/>
      <c r="B17" s="300">
        <f t="shared" si="8"/>
        <v>7</v>
      </c>
      <c r="C17" s="688" t="s">
        <v>582</v>
      </c>
      <c r="D17" s="689"/>
      <c r="E17" s="689"/>
      <c r="F17" s="689"/>
      <c r="G17" s="690"/>
      <c r="I17" s="315" t="s">
        <v>34</v>
      </c>
      <c r="J17" s="318"/>
      <c r="K17" s="318"/>
      <c r="L17" s="318"/>
      <c r="M17" s="319" t="e">
        <f>'3.BilantPRO'!#REF!</f>
        <v>#REF!</v>
      </c>
      <c r="N17" s="319" t="e">
        <f>'3.BilantPRO'!#REF!</f>
        <v>#REF!</v>
      </c>
      <c r="O17" s="319" t="e">
        <f>'3.BilantPRO'!#REF!</f>
        <v>#REF!</v>
      </c>
      <c r="P17" s="319" t="e">
        <f>'3.BilantPRO'!#REF!</f>
        <v>#REF!</v>
      </c>
      <c r="Q17" s="319" t="e">
        <f>'3.BilantPRO'!#REF!</f>
        <v>#REF!</v>
      </c>
      <c r="R17" s="319" t="e">
        <f>'3.BilantPRO'!#REF!</f>
        <v>#REF!</v>
      </c>
      <c r="S17" s="319" t="e">
        <f>'3.BilantPRO'!#REF!</f>
        <v>#REF!</v>
      </c>
      <c r="T17" s="319" t="e">
        <f>'3.BilantPRO'!#REF!</f>
        <v>#REF!</v>
      </c>
      <c r="U17" s="319" t="e">
        <f>'3.BilantPRO'!#REF!</f>
        <v>#REF!</v>
      </c>
      <c r="V17" s="319" t="e">
        <f>'3.BilantPRO'!#REF!</f>
        <v>#REF!</v>
      </c>
      <c r="W17" s="319" t="e">
        <f>'3.BilantPRO'!#REF!</f>
        <v>#REF!</v>
      </c>
      <c r="X17" s="319" t="e">
        <f>'3.BilantPRO'!#REF!</f>
        <v>#REF!</v>
      </c>
      <c r="Y17" s="319" t="e">
        <f>'3.BilantPRO'!#REF!</f>
        <v>#REF!</v>
      </c>
      <c r="Z17" s="319" t="e">
        <f>'3.BilantPRO'!#REF!</f>
        <v>#REF!</v>
      </c>
      <c r="AA17" s="319" t="e">
        <f>'3.BilantPRO'!#REF!</f>
        <v>#REF!</v>
      </c>
      <c r="AB17" s="319" t="e">
        <f>'3.BilantPRO'!#REF!</f>
        <v>#REF!</v>
      </c>
      <c r="AC17" s="319" t="e">
        <f>'3.BilantPRO'!#REF!</f>
        <v>#REF!</v>
      </c>
      <c r="AD17" s="319" t="e">
        <f>'3.BilantPRO'!#REF!</f>
        <v>#REF!</v>
      </c>
      <c r="AE17" s="319" t="e">
        <f>'3.BilantPRO'!#REF!</f>
        <v>#REF!</v>
      </c>
      <c r="AF17" s="319" t="e">
        <f>'3.BilantPRO'!#REF!</f>
        <v>#REF!</v>
      </c>
      <c r="AG17" s="319" t="e">
        <f>'3.BilantPRO'!#REF!</f>
        <v>#REF!</v>
      </c>
      <c r="AH17" s="319" t="e">
        <f>'3.BilantPRO'!#REF!</f>
        <v>#REF!</v>
      </c>
      <c r="AI17" s="319" t="e">
        <f>'3.BilantPRO'!#REF!</f>
        <v>#REF!</v>
      </c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U17" s="41"/>
      <c r="AV17" s="320"/>
    </row>
    <row r="18" spans="1:48" s="317" customFormat="1" hidden="1" outlineLevel="2" x14ac:dyDescent="0.3">
      <c r="A18" s="41"/>
      <c r="B18" s="300">
        <f t="shared" si="8"/>
        <v>8</v>
      </c>
      <c r="C18" s="688" t="s">
        <v>565</v>
      </c>
      <c r="D18" s="689"/>
      <c r="E18" s="689"/>
      <c r="F18" s="689"/>
      <c r="G18" s="690"/>
      <c r="I18" s="315" t="s">
        <v>32</v>
      </c>
      <c r="J18" s="318"/>
      <c r="K18" s="318"/>
      <c r="L18" s="318"/>
      <c r="M18" s="319">
        <f>M86</f>
        <v>337.44515619999999</v>
      </c>
      <c r="N18" s="319">
        <f t="shared" ref="N18:AH18" si="12">N86</f>
        <v>428.29</v>
      </c>
      <c r="O18" s="319">
        <f t="shared" si="12"/>
        <v>763</v>
      </c>
      <c r="P18" s="319">
        <f t="shared" si="12"/>
        <v>763</v>
      </c>
      <c r="Q18" s="319">
        <f t="shared" si="12"/>
        <v>763</v>
      </c>
      <c r="R18" s="319">
        <f t="shared" si="12"/>
        <v>763</v>
      </c>
      <c r="S18" s="319">
        <f t="shared" si="12"/>
        <v>763</v>
      </c>
      <c r="T18" s="319">
        <f t="shared" si="12"/>
        <v>763</v>
      </c>
      <c r="U18" s="319">
        <f t="shared" si="12"/>
        <v>763</v>
      </c>
      <c r="V18" s="319">
        <f t="shared" si="12"/>
        <v>763</v>
      </c>
      <c r="W18" s="319">
        <f t="shared" si="12"/>
        <v>763</v>
      </c>
      <c r="X18" s="319">
        <f t="shared" si="12"/>
        <v>763</v>
      </c>
      <c r="Y18" s="319">
        <f t="shared" si="12"/>
        <v>763</v>
      </c>
      <c r="Z18" s="319">
        <f t="shared" si="12"/>
        <v>763</v>
      </c>
      <c r="AA18" s="319">
        <f t="shared" si="12"/>
        <v>763</v>
      </c>
      <c r="AB18" s="319">
        <f t="shared" si="12"/>
        <v>763</v>
      </c>
      <c r="AC18" s="319">
        <f t="shared" si="12"/>
        <v>763</v>
      </c>
      <c r="AD18" s="319">
        <f t="shared" si="12"/>
        <v>763</v>
      </c>
      <c r="AE18" s="319">
        <f t="shared" si="12"/>
        <v>763</v>
      </c>
      <c r="AF18" s="319">
        <f t="shared" si="12"/>
        <v>763</v>
      </c>
      <c r="AG18" s="319">
        <f t="shared" si="12"/>
        <v>763</v>
      </c>
      <c r="AH18" s="319">
        <f t="shared" si="12"/>
        <v>763</v>
      </c>
      <c r="AI18" s="319">
        <f t="shared" ref="AI18" si="13">AI86</f>
        <v>763</v>
      </c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U18" s="41"/>
      <c r="AV18" s="320"/>
    </row>
    <row r="19" spans="1:48" s="43" customFormat="1" hidden="1" outlineLevel="1" x14ac:dyDescent="0.3">
      <c r="A19" s="41"/>
      <c r="B19" s="300">
        <f t="shared" si="8"/>
        <v>9</v>
      </c>
      <c r="C19" s="608" t="s">
        <v>352</v>
      </c>
      <c r="D19" s="608"/>
      <c r="E19" s="608"/>
      <c r="F19" s="608"/>
      <c r="G19" s="608"/>
      <c r="I19" s="315" t="s">
        <v>59</v>
      </c>
      <c r="J19" s="302"/>
      <c r="K19" s="302"/>
      <c r="L19" s="302"/>
      <c r="M19" s="319">
        <f>M87</f>
        <v>772505.16</v>
      </c>
      <c r="N19" s="319">
        <f t="shared" ref="N19:Q19" si="14">N87</f>
        <v>953038.22</v>
      </c>
      <c r="O19" s="319">
        <f t="shared" si="14"/>
        <v>930511.00603388809</v>
      </c>
      <c r="P19" s="319">
        <f t="shared" si="14"/>
        <v>916648.48320421134</v>
      </c>
      <c r="Q19" s="319">
        <f t="shared" si="14"/>
        <v>903179.73225449852</v>
      </c>
      <c r="R19" s="319">
        <f>Q19/'3.BilantPRO'!K61*'3.BilantPRO'!L61</f>
        <v>865079.17051155528</v>
      </c>
      <c r="S19" s="319">
        <f>R19/'3.BilantPRO'!L61*'3.BilantPRO'!M61</f>
        <v>808982.33307003393</v>
      </c>
      <c r="T19" s="319">
        <f>S19/'3.BilantPRO'!M61*'3.BilantPRO'!N61</f>
        <v>750744.0816289701</v>
      </c>
      <c r="U19" s="319">
        <f>T19/'3.BilantPRO'!N61*'3.BilantPRO'!O61</f>
        <v>744625.20127758489</v>
      </c>
      <c r="V19" s="319">
        <f>U19/'3.BilantPRO'!O61*'3.BilantPRO'!P61</f>
        <v>738609.15488855587</v>
      </c>
      <c r="W19" s="319">
        <f>V19/'3.BilantPRO'!P61*'3.BilantPRO'!Q61</f>
        <v>732694.09839404875</v>
      </c>
      <c r="X19" s="319">
        <f>W19/'3.BilantPRO'!Q61*'3.BilantPRO'!R61</f>
        <v>726878.22129677527</v>
      </c>
      <c r="Y19" s="319">
        <f>X19/'3.BilantPRO'!R61*'3.BilantPRO'!S61</f>
        <v>723029.7127284091</v>
      </c>
      <c r="Z19" s="319">
        <f>Y19/'3.BilantPRO'!S61*'3.BilantPRO'!T61</f>
        <v>719244.13641475339</v>
      </c>
      <c r="AA19" s="319">
        <f>Z19/'3.BilantPRO'!T61*'3.BilantPRO'!U61</f>
        <v>715520.35161107767</v>
      </c>
      <c r="AB19" s="319">
        <f>AA19/'3.BilantPRO'!U61*'3.BilantPRO'!V61</f>
        <v>711857.23873384169</v>
      </c>
      <c r="AC19" s="319">
        <f>AB19/'3.BilantPRO'!V61*'3.BilantPRO'!W61</f>
        <v>708253.69896626193</v>
      </c>
      <c r="AD19" s="319">
        <f>AC19/'3.BilantPRO'!W61*'3.BilantPRO'!X61</f>
        <v>704708.65387123416</v>
      </c>
      <c r="AE19" s="319">
        <f>AD19/'3.BilantPRO'!X61*'3.BilantPRO'!Y61</f>
        <v>701221.04501148034</v>
      </c>
      <c r="AF19" s="319">
        <f>AE19/'3.BilantPRO'!Y61*'3.BilantPRO'!Z61</f>
        <v>697789.83357678144</v>
      </c>
      <c r="AG19" s="319">
        <f>AF19/'3.BilantPRO'!Z61*'3.BilantPRO'!AA61</f>
        <v>694414.00001816521</v>
      </c>
      <c r="AH19" s="319">
        <f>AG19/'3.BilantPRO'!AA61*'3.BilantPRO'!AB61</f>
        <v>691092.54368892021</v>
      </c>
      <c r="AI19" s="319">
        <f>AH19/'3.BilantPRO'!AB61*'3.BilantPRO'!AC61</f>
        <v>687824.48249230662</v>
      </c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U19" s="41"/>
      <c r="AV19" s="38"/>
    </row>
    <row r="20" spans="1:48" s="43" customFormat="1" hidden="1" outlineLevel="1" x14ac:dyDescent="0.3">
      <c r="A20" s="41"/>
      <c r="B20" s="300">
        <f t="shared" si="8"/>
        <v>10</v>
      </c>
      <c r="C20" s="598" t="s">
        <v>368</v>
      </c>
      <c r="D20" s="599"/>
      <c r="E20" s="599"/>
      <c r="F20" s="599"/>
      <c r="G20" s="600"/>
      <c r="I20" s="315" t="s">
        <v>59</v>
      </c>
      <c r="J20" s="302"/>
      <c r="K20" s="302"/>
      <c r="L20" s="302"/>
      <c r="M20" s="319">
        <f>M88</f>
        <v>1272909.17</v>
      </c>
      <c r="N20" s="319">
        <f t="shared" ref="N20:Q20" si="15">N88</f>
        <v>1599350.96</v>
      </c>
      <c r="O20" s="319">
        <f t="shared" si="15"/>
        <v>1561546.682556828</v>
      </c>
      <c r="P20" s="319">
        <f t="shared" si="15"/>
        <v>1538283.1462889274</v>
      </c>
      <c r="Q20" s="319">
        <f t="shared" si="15"/>
        <v>1515680.4223798863</v>
      </c>
      <c r="R20" s="319">
        <f>Q20/'3.BilantPRO'!K61*'3.BilantPRO'!L61</f>
        <v>1451741.5700638525</v>
      </c>
      <c r="S20" s="319">
        <f>R20/'3.BilantPRO'!L61*'3.BilantPRO'!M61</f>
        <v>1357602.0812875673</v>
      </c>
      <c r="T20" s="319">
        <f>S20/'3.BilantPRO'!M61*'3.BilantPRO'!N61</f>
        <v>1259868.9564282233</v>
      </c>
      <c r="U20" s="319">
        <f>T20/'3.BilantPRO'!N61*'3.BilantPRO'!O61</f>
        <v>1249600.4939901554</v>
      </c>
      <c r="V20" s="319">
        <f>U20/'3.BilantPRO'!O61*'3.BilantPRO'!P61</f>
        <v>1239504.6034311198</v>
      </c>
      <c r="W20" s="319">
        <f>V20/'3.BilantPRO'!P61*'3.BilantPRO'!Q61</f>
        <v>1229578.1901095803</v>
      </c>
      <c r="X20" s="319">
        <f>W20/'3.BilantPRO'!Q61*'3.BilantPRO'!R61</f>
        <v>1219818.2157207606</v>
      </c>
      <c r="Y20" s="319">
        <f>X20/'3.BilantPRO'!R61*'3.BilantPRO'!S61</f>
        <v>1213359.8012057743</v>
      </c>
      <c r="Z20" s="319">
        <f>Y20/'3.BilantPRO'!S61*'3.BilantPRO'!T61</f>
        <v>1207006.997105852</v>
      </c>
      <c r="AA20" s="319">
        <f>Z20/'3.BilantPRO'!T61*'3.BilantPRO'!U61</f>
        <v>1200757.8890684091</v>
      </c>
      <c r="AB20" s="319">
        <f>AA20/'3.BilantPRO'!U61*'3.BilantPRO'!V61</f>
        <v>1194610.5982527316</v>
      </c>
      <c r="AC20" s="319">
        <f>AB20/'3.BilantPRO'!V61*'3.BilantPRO'!W61</f>
        <v>1188563.2806680528</v>
      </c>
      <c r="AD20" s="319">
        <f>AC20/'3.BilantPRO'!W61*'3.BilantPRO'!X61</f>
        <v>1182614.1265239767</v>
      </c>
      <c r="AE20" s="319">
        <f>AD20/'3.BilantPRO'!X61*'3.BilantPRO'!Y61</f>
        <v>1176761.3595930221</v>
      </c>
      <c r="AF20" s="319">
        <f>AE20/'3.BilantPRO'!Y61*'3.BilantPRO'!Z61</f>
        <v>1171003.2365850608</v>
      </c>
      <c r="AG20" s="319">
        <f>AF20/'3.BilantPRO'!Z61*'3.BilantPRO'!AA61</f>
        <v>1165338.0465334244</v>
      </c>
      <c r="AH20" s="319">
        <f>AG20/'3.BilantPRO'!AA61*'3.BilantPRO'!AB61</f>
        <v>1159764.1101924705</v>
      </c>
      <c r="AI20" s="319">
        <f>AH20/'3.BilantPRO'!AB61*'3.BilantPRO'!AC61</f>
        <v>1154279.7794463828</v>
      </c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U20" s="41"/>
      <c r="AV20" s="38"/>
    </row>
    <row r="21" spans="1:48" s="43" customFormat="1" hidden="1" outlineLevel="1" x14ac:dyDescent="0.3">
      <c r="A21" s="41"/>
      <c r="B21" s="300">
        <f t="shared" si="8"/>
        <v>11</v>
      </c>
      <c r="C21" s="598" t="s">
        <v>355</v>
      </c>
      <c r="D21" s="599"/>
      <c r="E21" s="599"/>
      <c r="F21" s="599"/>
      <c r="G21" s="600"/>
      <c r="I21" s="315" t="s">
        <v>59</v>
      </c>
      <c r="J21" s="302"/>
      <c r="K21" s="302"/>
      <c r="L21" s="302"/>
      <c r="M21" s="319">
        <f>M22*M23</f>
        <v>0</v>
      </c>
      <c r="N21" s="319">
        <f t="shared" ref="N21:AH21" si="16">N22*N23</f>
        <v>0</v>
      </c>
      <c r="O21" s="319">
        <f t="shared" si="16"/>
        <v>11965261.000000002</v>
      </c>
      <c r="P21" s="319">
        <f t="shared" si="16"/>
        <v>12795750.255555557</v>
      </c>
      <c r="Q21" s="319">
        <f t="shared" si="16"/>
        <v>14556822.577733334</v>
      </c>
      <c r="R21" s="319">
        <f t="shared" si="16"/>
        <v>14996386.06111858</v>
      </c>
      <c r="S21" s="319">
        <f t="shared" si="16"/>
        <v>15372518.964154489</v>
      </c>
      <c r="T21" s="319">
        <f t="shared" si="16"/>
        <v>15617545.714125337</v>
      </c>
      <c r="U21" s="319">
        <f t="shared" si="16"/>
        <v>15967283.609414225</v>
      </c>
      <c r="V21" s="319">
        <f t="shared" si="16"/>
        <v>16317021.504703116</v>
      </c>
      <c r="W21" s="319">
        <f t="shared" si="16"/>
        <v>16810555.48078578</v>
      </c>
      <c r="X21" s="319">
        <f t="shared" si="16"/>
        <v>17304089.456868447</v>
      </c>
      <c r="Y21" s="319">
        <f t="shared" si="16"/>
        <v>17797623.432951115</v>
      </c>
      <c r="Z21" s="319">
        <f t="shared" si="16"/>
        <v>18291157.409033779</v>
      </c>
      <c r="AA21" s="319">
        <f t="shared" si="16"/>
        <v>18784691.385116447</v>
      </c>
      <c r="AB21" s="319">
        <f t="shared" si="16"/>
        <v>19278225.361199111</v>
      </c>
      <c r="AC21" s="319">
        <f t="shared" si="16"/>
        <v>19771759.337281778</v>
      </c>
      <c r="AD21" s="319">
        <f t="shared" si="16"/>
        <v>20265293.313364442</v>
      </c>
      <c r="AE21" s="319">
        <f t="shared" si="16"/>
        <v>20758827.289447106</v>
      </c>
      <c r="AF21" s="319">
        <f t="shared" si="16"/>
        <v>21252361.265529778</v>
      </c>
      <c r="AG21" s="319">
        <f t="shared" si="16"/>
        <v>21745895.241612442</v>
      </c>
      <c r="AH21" s="319">
        <f t="shared" si="16"/>
        <v>22239429.21769511</v>
      </c>
      <c r="AI21" s="319">
        <f t="shared" ref="AI21" si="17">AI22*AI23</f>
        <v>22732963.193777781</v>
      </c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U21" s="41"/>
      <c r="AV21" s="38"/>
    </row>
    <row r="22" spans="1:48" s="43" customFormat="1" hidden="1" outlineLevel="2" x14ac:dyDescent="0.3">
      <c r="A22" s="41"/>
      <c r="B22" s="300">
        <f t="shared" si="8"/>
        <v>12</v>
      </c>
      <c r="C22" s="688" t="s">
        <v>360</v>
      </c>
      <c r="D22" s="689"/>
      <c r="E22" s="689"/>
      <c r="F22" s="689"/>
      <c r="G22" s="690"/>
      <c r="I22" s="315" t="s">
        <v>361</v>
      </c>
      <c r="J22" s="302"/>
      <c r="K22" s="302"/>
      <c r="L22" s="302"/>
      <c r="M22" s="319">
        <f>M90</f>
        <v>0</v>
      </c>
      <c r="N22" s="319">
        <f t="shared" ref="N22:Q22" si="18">N90</f>
        <v>0</v>
      </c>
      <c r="O22" s="319">
        <f t="shared" si="18"/>
        <v>34531.777777777781</v>
      </c>
      <c r="P22" s="319">
        <f t="shared" si="18"/>
        <v>34531.777777777781</v>
      </c>
      <c r="Q22" s="319">
        <f t="shared" si="18"/>
        <v>34531.777777777781</v>
      </c>
      <c r="R22" s="319">
        <f>IF('3.BilantPRO'!L83&gt;0,'3.BilantPRO'!L83,0)</f>
        <v>34333.391777777782</v>
      </c>
      <c r="S22" s="319">
        <f>IF('3.BilantPRO'!M83&gt;0,'3.BilantPRO'!M83,0)</f>
        <v>33990.009777777777</v>
      </c>
      <c r="T22" s="319">
        <f>IF('3.BilantPRO'!N83&gt;0,'3.BilantPRO'!N83,0)</f>
        <v>33628.643777777783</v>
      </c>
      <c r="U22" s="319">
        <f>IF('3.BilantPRO'!O83&gt;0,'3.BilantPRO'!O83,0)</f>
        <v>33628.643777777783</v>
      </c>
      <c r="V22" s="319">
        <f>IF('3.BilantPRO'!P83&gt;0,'3.BilantPRO'!P83,0)</f>
        <v>33628.643777777783</v>
      </c>
      <c r="W22" s="319">
        <f>IF('3.BilantPRO'!Q83&gt;0,'3.BilantPRO'!Q83,0)</f>
        <v>33628.643777777783</v>
      </c>
      <c r="X22" s="319">
        <f>IF('3.BilantPRO'!R83&gt;0,'3.BilantPRO'!R83,0)</f>
        <v>33628.643777777783</v>
      </c>
      <c r="Y22" s="319">
        <f>IF('3.BilantPRO'!S83&gt;0,'3.BilantPRO'!S83,0)</f>
        <v>33628.643777777783</v>
      </c>
      <c r="Z22" s="319">
        <f>IF('3.BilantPRO'!T83&gt;0,'3.BilantPRO'!T83,0)</f>
        <v>33628.643777777783</v>
      </c>
      <c r="AA22" s="319">
        <f>IF('3.BilantPRO'!U83&gt;0,'3.BilantPRO'!U83,0)</f>
        <v>33628.643777777783</v>
      </c>
      <c r="AB22" s="319">
        <f>IF('3.BilantPRO'!V83&gt;0,'3.BilantPRO'!V83,0)</f>
        <v>33628.643777777783</v>
      </c>
      <c r="AC22" s="319">
        <f>IF('3.BilantPRO'!W83&gt;0,'3.BilantPRO'!W83,0)</f>
        <v>33628.643777777783</v>
      </c>
      <c r="AD22" s="319">
        <f>IF('3.BilantPRO'!X83&gt;0,'3.BilantPRO'!X83,0)</f>
        <v>33628.643777777783</v>
      </c>
      <c r="AE22" s="319">
        <f>IF('3.BilantPRO'!Y83&gt;0,'3.BilantPRO'!Y83,0)</f>
        <v>33628.643777777783</v>
      </c>
      <c r="AF22" s="319">
        <f>IF('3.BilantPRO'!Z83&gt;0,'3.BilantPRO'!Z83,0)</f>
        <v>33628.643777777783</v>
      </c>
      <c r="AG22" s="319">
        <f>IF('3.BilantPRO'!AA83&gt;0,'3.BilantPRO'!AA83,0)</f>
        <v>33628.643777777783</v>
      </c>
      <c r="AH22" s="319">
        <f>IF('3.BilantPRO'!AB83&gt;0,'3.BilantPRO'!AB83,0)</f>
        <v>33628.643777777783</v>
      </c>
      <c r="AI22" s="319">
        <f>IF('3.BilantPRO'!AC83&gt;0,'3.BilantPRO'!AC83,0)</f>
        <v>33628.643777777783</v>
      </c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U22" s="41"/>
      <c r="AV22" s="38"/>
    </row>
    <row r="23" spans="1:48" s="43" customFormat="1" hidden="1" outlineLevel="2" x14ac:dyDescent="0.3">
      <c r="A23" s="41"/>
      <c r="B23" s="300">
        <f t="shared" si="8"/>
        <v>13</v>
      </c>
      <c r="C23" s="688" t="s">
        <v>220</v>
      </c>
      <c r="D23" s="689"/>
      <c r="E23" s="689"/>
      <c r="F23" s="689"/>
      <c r="G23" s="690"/>
      <c r="I23" s="315" t="s">
        <v>362</v>
      </c>
      <c r="J23" s="302"/>
      <c r="K23" s="302"/>
      <c r="L23" s="302"/>
      <c r="M23" s="319">
        <f>M91</f>
        <v>0</v>
      </c>
      <c r="N23" s="319">
        <f t="shared" ref="N23:AH23" si="19">N91</f>
        <v>0</v>
      </c>
      <c r="O23" s="319">
        <f t="shared" si="19"/>
        <v>346.5</v>
      </c>
      <c r="P23" s="319">
        <f t="shared" si="19"/>
        <v>370.55</v>
      </c>
      <c r="Q23" s="319">
        <f t="shared" si="19"/>
        <v>421.54859999999996</v>
      </c>
      <c r="R23" s="319">
        <f t="shared" si="19"/>
        <v>436.78720000000004</v>
      </c>
      <c r="S23" s="319">
        <f t="shared" si="19"/>
        <v>452.26580000000001</v>
      </c>
      <c r="T23" s="319">
        <f t="shared" si="19"/>
        <v>464.41200000000003</v>
      </c>
      <c r="U23" s="319">
        <f t="shared" si="19"/>
        <v>474.81200000000001</v>
      </c>
      <c r="V23" s="319">
        <f t="shared" si="19"/>
        <v>485.21200000000005</v>
      </c>
      <c r="W23" s="319">
        <f t="shared" si="19"/>
        <v>499.88800000000003</v>
      </c>
      <c r="X23" s="319">
        <f t="shared" si="19"/>
        <v>514.56399999999996</v>
      </c>
      <c r="Y23" s="319">
        <f t="shared" si="19"/>
        <v>529.24</v>
      </c>
      <c r="Z23" s="319">
        <f t="shared" si="19"/>
        <v>543.91599999999994</v>
      </c>
      <c r="AA23" s="319">
        <f t="shared" si="19"/>
        <v>558.59199999999998</v>
      </c>
      <c r="AB23" s="319">
        <f t="shared" si="19"/>
        <v>573.26799999999992</v>
      </c>
      <c r="AC23" s="319">
        <f t="shared" si="19"/>
        <v>587.94399999999996</v>
      </c>
      <c r="AD23" s="319">
        <f t="shared" si="19"/>
        <v>602.61999999999989</v>
      </c>
      <c r="AE23" s="319">
        <f t="shared" si="19"/>
        <v>617.29599999999982</v>
      </c>
      <c r="AF23" s="319">
        <f t="shared" si="19"/>
        <v>631.97199999999987</v>
      </c>
      <c r="AG23" s="319">
        <f t="shared" si="19"/>
        <v>646.6479999999998</v>
      </c>
      <c r="AH23" s="319">
        <f t="shared" si="19"/>
        <v>661.32399999999984</v>
      </c>
      <c r="AI23" s="319">
        <f t="shared" ref="AI23" si="20">AI91</f>
        <v>676</v>
      </c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U23" s="41"/>
      <c r="AV23" s="38"/>
    </row>
    <row r="24" spans="1:48" s="43" customFormat="1" hidden="1" outlineLevel="1" x14ac:dyDescent="0.3">
      <c r="A24" s="41"/>
      <c r="B24" s="300">
        <f t="shared" si="8"/>
        <v>14</v>
      </c>
      <c r="C24" s="598" t="s">
        <v>356</v>
      </c>
      <c r="D24" s="599"/>
      <c r="E24" s="599"/>
      <c r="F24" s="599"/>
      <c r="G24" s="600"/>
      <c r="I24" s="315" t="s">
        <v>59</v>
      </c>
      <c r="J24" s="302"/>
      <c r="K24" s="302"/>
      <c r="L24" s="302"/>
      <c r="M24" s="319">
        <f>M25*M26</f>
        <v>661958</v>
      </c>
      <c r="N24" s="319">
        <f t="shared" ref="N24:AH24" si="21">N25*N26</f>
        <v>1490949</v>
      </c>
      <c r="O24" s="319">
        <f t="shared" si="21"/>
        <v>7538257.134474284</v>
      </c>
      <c r="P24" s="319">
        <f t="shared" si="21"/>
        <v>5909966.2249983028</v>
      </c>
      <c r="Q24" s="319">
        <f t="shared" si="21"/>
        <v>3936755.8631547382</v>
      </c>
      <c r="R24" s="319">
        <f t="shared" si="21"/>
        <v>4244236.3741897475</v>
      </c>
      <c r="S24" s="319">
        <f t="shared" si="21"/>
        <v>3825151.0575660449</v>
      </c>
      <c r="T24" s="319">
        <f t="shared" si="21"/>
        <v>3410754.082895007</v>
      </c>
      <c r="U24" s="319">
        <f t="shared" si="21"/>
        <v>3238780.0099766469</v>
      </c>
      <c r="V24" s="319">
        <f t="shared" si="21"/>
        <v>3062759.6213500658</v>
      </c>
      <c r="W24" s="319">
        <f t="shared" si="21"/>
        <v>2882050.9585058219</v>
      </c>
      <c r="X24" s="319">
        <f t="shared" si="21"/>
        <v>2877149.0708416631</v>
      </c>
      <c r="Y24" s="319">
        <f t="shared" si="21"/>
        <v>2877926.8208823404</v>
      </c>
      <c r="Z24" s="319">
        <f t="shared" si="21"/>
        <v>2876874.7691247072</v>
      </c>
      <c r="AA24" s="319">
        <f t="shared" si="21"/>
        <v>2873967.079270734</v>
      </c>
      <c r="AB24" s="319">
        <f t="shared" si="21"/>
        <v>2869174.7874530996</v>
      </c>
      <c r="AC24" s="319">
        <f t="shared" si="21"/>
        <v>2921462.9279447268</v>
      </c>
      <c r="AD24" s="319">
        <f t="shared" si="21"/>
        <v>2973317.9976940732</v>
      </c>
      <c r="AE24" s="319">
        <f t="shared" si="21"/>
        <v>3024751.985182513</v>
      </c>
      <c r="AF24" s="319">
        <f t="shared" si="21"/>
        <v>3075776.5660188664</v>
      </c>
      <c r="AG24" s="319">
        <f t="shared" si="21"/>
        <v>3126403.1105499337</v>
      </c>
      <c r="AH24" s="319">
        <f t="shared" si="21"/>
        <v>3176642.6912953393</v>
      </c>
      <c r="AI24" s="319">
        <f t="shared" ref="AI24" si="22">AI25*AI26</f>
        <v>3226506.0902106175</v>
      </c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U24" s="41"/>
      <c r="AV24" s="38"/>
    </row>
    <row r="25" spans="1:48" s="43" customFormat="1" hidden="1" outlineLevel="2" x14ac:dyDescent="0.3">
      <c r="A25" s="41"/>
      <c r="B25" s="300">
        <f t="shared" si="8"/>
        <v>15</v>
      </c>
      <c r="C25" s="688" t="s">
        <v>370</v>
      </c>
      <c r="D25" s="689"/>
      <c r="E25" s="689"/>
      <c r="F25" s="689"/>
      <c r="G25" s="690"/>
      <c r="I25" s="315" t="s">
        <v>359</v>
      </c>
      <c r="J25" s="302"/>
      <c r="K25" s="302"/>
      <c r="L25" s="302"/>
      <c r="M25" s="319">
        <f>M93</f>
        <v>710.00000000000091</v>
      </c>
      <c r="N25" s="319">
        <f t="shared" ref="N25:Q25" si="23">N93</f>
        <v>710.00000000000091</v>
      </c>
      <c r="O25" s="319">
        <f t="shared" si="23"/>
        <v>8440.268644513435</v>
      </c>
      <c r="P25" s="319">
        <f t="shared" si="23"/>
        <v>8314.5276097331225</v>
      </c>
      <c r="Q25" s="319">
        <f t="shared" si="23"/>
        <v>8192.3583118049246</v>
      </c>
      <c r="R25" s="319">
        <f>'3.BilantPRO'!L49*1000</f>
        <v>7846.7643590928801</v>
      </c>
      <c r="S25" s="319">
        <f>'3.BilantPRO'!M49*1000</f>
        <v>7337.9338616094392</v>
      </c>
      <c r="T25" s="319">
        <f>'3.BilantPRO'!N49*1000</f>
        <v>6809.6795106540249</v>
      </c>
      <c r="U25" s="319">
        <f>'3.BilantPRO'!O49*1000</f>
        <v>6754.177755559851</v>
      </c>
      <c r="V25" s="319">
        <f>'3.BilantPRO'!P49*1000</f>
        <v>6699.6087634985033</v>
      </c>
      <c r="W25" s="319">
        <f>'3.BilantPRO'!Q49*1000</f>
        <v>6645.9558077168094</v>
      </c>
      <c r="X25" s="319">
        <f>'3.BilantPRO'!R49*1000</f>
        <v>6593.2024659657136</v>
      </c>
      <c r="Y25" s="319">
        <f>'3.BilantPRO'!S49*1000</f>
        <v>6558.2942854207322</v>
      </c>
      <c r="Z25" s="319">
        <f>'3.BilantPRO'!T49*1000</f>
        <v>6523.9569365292382</v>
      </c>
      <c r="AA25" s="319">
        <f>'3.BilantPRO'!U49*1000</f>
        <v>6490.1800720820975</v>
      </c>
      <c r="AB25" s="319">
        <f>'3.BilantPRO'!V49*1000</f>
        <v>6456.9535368143142</v>
      </c>
      <c r="AC25" s="319">
        <f>'3.BilantPRO'!W49*1000</f>
        <v>6424.2673638272836</v>
      </c>
      <c r="AD25" s="319">
        <f>'3.BilantPRO'!X49*1000</f>
        <v>6392.1117710777862</v>
      </c>
      <c r="AE25" s="319">
        <f>'3.BilantPRO'!Y49*1000</f>
        <v>6360.4771579325061</v>
      </c>
      <c r="AF25" s="319">
        <f>'3.BilantPRO'!Z49*1000</f>
        <v>6329.3541017868047</v>
      </c>
      <c r="AG25" s="319">
        <f>'3.BilantPRO'!AA49*1000</f>
        <v>6298.733354746606</v>
      </c>
      <c r="AH25" s="319">
        <f>'3.BilantPRO'!AB49*1000</f>
        <v>6268.6058403721781</v>
      </c>
      <c r="AI25" s="319">
        <f>'3.BilantPRO'!AC49*1000</f>
        <v>6238.962650482682</v>
      </c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U25" s="41"/>
      <c r="AV25" s="38"/>
    </row>
    <row r="26" spans="1:48" s="43" customFormat="1" hidden="1" outlineLevel="2" x14ac:dyDescent="0.3">
      <c r="A26" s="41"/>
      <c r="B26" s="300">
        <f t="shared" si="8"/>
        <v>16</v>
      </c>
      <c r="C26" s="688" t="s">
        <v>371</v>
      </c>
      <c r="D26" s="689"/>
      <c r="E26" s="689"/>
      <c r="F26" s="689"/>
      <c r="G26" s="690"/>
      <c r="I26" s="315" t="s">
        <v>144</v>
      </c>
      <c r="J26" s="302"/>
      <c r="K26" s="302"/>
      <c r="L26" s="302"/>
      <c r="M26" s="319">
        <f>M94</f>
        <v>932.33521126760445</v>
      </c>
      <c r="N26" s="319">
        <f t="shared" ref="N26:AH26" si="24">N94</f>
        <v>2099.928169014082</v>
      </c>
      <c r="O26" s="319">
        <f t="shared" si="24"/>
        <v>893.13</v>
      </c>
      <c r="P26" s="319">
        <f t="shared" si="24"/>
        <v>710.8</v>
      </c>
      <c r="Q26" s="319">
        <f t="shared" si="24"/>
        <v>480.53999999999996</v>
      </c>
      <c r="R26" s="319">
        <f t="shared" si="24"/>
        <v>540.89</v>
      </c>
      <c r="S26" s="319">
        <f t="shared" si="24"/>
        <v>521.2844827586207</v>
      </c>
      <c r="T26" s="319">
        <f t="shared" si="24"/>
        <v>500.86851775604731</v>
      </c>
      <c r="U26" s="319">
        <f t="shared" si="24"/>
        <v>479.52247145266102</v>
      </c>
      <c r="V26" s="319">
        <f t="shared" si="24"/>
        <v>457.15499657784608</v>
      </c>
      <c r="W26" s="319">
        <f t="shared" si="24"/>
        <v>433.65484843570431</v>
      </c>
      <c r="X26" s="319">
        <f t="shared" si="24"/>
        <v>436.38111914408557</v>
      </c>
      <c r="Y26" s="319">
        <f t="shared" si="24"/>
        <v>438.82245834561746</v>
      </c>
      <c r="Z26" s="319">
        <f t="shared" si="24"/>
        <v>440.97083980067043</v>
      </c>
      <c r="AA26" s="319">
        <f t="shared" si="24"/>
        <v>442.8177719803611</v>
      </c>
      <c r="AB26" s="319">
        <f t="shared" si="24"/>
        <v>444.35425639885779</v>
      </c>
      <c r="AC26" s="319">
        <f t="shared" si="24"/>
        <v>454.75425639885776</v>
      </c>
      <c r="AD26" s="319">
        <f t="shared" si="24"/>
        <v>465.15425639885774</v>
      </c>
      <c r="AE26" s="319">
        <f t="shared" si="24"/>
        <v>475.55425639885772</v>
      </c>
      <c r="AF26" s="319">
        <f t="shared" si="24"/>
        <v>485.95425639885769</v>
      </c>
      <c r="AG26" s="319">
        <f t="shared" si="24"/>
        <v>496.35425639885767</v>
      </c>
      <c r="AH26" s="319">
        <f t="shared" si="24"/>
        <v>506.75425639885765</v>
      </c>
      <c r="AI26" s="319">
        <f t="shared" ref="AI26" si="25">AI94</f>
        <v>517.15425639885768</v>
      </c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U26" s="41"/>
      <c r="AV26" s="38"/>
    </row>
    <row r="27" spans="1:48" s="43" customFormat="1" ht="14.25" hidden="1" customHeight="1" outlineLevel="1" x14ac:dyDescent="0.3">
      <c r="A27" s="41"/>
      <c r="B27" s="300">
        <f t="shared" si="8"/>
        <v>17</v>
      </c>
      <c r="C27" s="608" t="s">
        <v>63</v>
      </c>
      <c r="D27" s="608"/>
      <c r="E27" s="608"/>
      <c r="F27" s="608"/>
      <c r="G27" s="608"/>
      <c r="I27" s="315" t="s">
        <v>59</v>
      </c>
      <c r="J27" s="302"/>
      <c r="K27" s="302"/>
      <c r="L27" s="302"/>
      <c r="M27" s="319">
        <f>M95</f>
        <v>2596905</v>
      </c>
      <c r="N27" s="319">
        <f t="shared" ref="N27:Q27" si="26">N95</f>
        <v>2736854</v>
      </c>
      <c r="O27" s="319">
        <f t="shared" si="26"/>
        <v>2736854</v>
      </c>
      <c r="P27" s="319">
        <f t="shared" si="26"/>
        <v>2736854</v>
      </c>
      <c r="Q27" s="319">
        <f t="shared" si="26"/>
        <v>2736854</v>
      </c>
      <c r="R27" s="319">
        <f t="shared" ref="R27:AH27" si="27">R95</f>
        <v>2736854</v>
      </c>
      <c r="S27" s="319">
        <f t="shared" si="27"/>
        <v>2736854</v>
      </c>
      <c r="T27" s="319">
        <f t="shared" si="27"/>
        <v>2736854</v>
      </c>
      <c r="U27" s="319">
        <f t="shared" si="27"/>
        <v>2736854</v>
      </c>
      <c r="V27" s="319">
        <f t="shared" si="27"/>
        <v>2736854</v>
      </c>
      <c r="W27" s="319">
        <f t="shared" si="27"/>
        <v>2736854</v>
      </c>
      <c r="X27" s="319">
        <f t="shared" si="27"/>
        <v>2736854</v>
      </c>
      <c r="Y27" s="319">
        <f t="shared" si="27"/>
        <v>2736854</v>
      </c>
      <c r="Z27" s="319">
        <f t="shared" si="27"/>
        <v>2736854</v>
      </c>
      <c r="AA27" s="319">
        <f t="shared" si="27"/>
        <v>2736854</v>
      </c>
      <c r="AB27" s="319">
        <f t="shared" si="27"/>
        <v>2736854</v>
      </c>
      <c r="AC27" s="319">
        <f t="shared" si="27"/>
        <v>2736854</v>
      </c>
      <c r="AD27" s="319">
        <f t="shared" si="27"/>
        <v>2736854</v>
      </c>
      <c r="AE27" s="319">
        <f t="shared" si="27"/>
        <v>2736854</v>
      </c>
      <c r="AF27" s="319">
        <f t="shared" si="27"/>
        <v>2736854</v>
      </c>
      <c r="AG27" s="319">
        <f t="shared" si="27"/>
        <v>2736854</v>
      </c>
      <c r="AH27" s="319">
        <f t="shared" si="27"/>
        <v>2736854</v>
      </c>
      <c r="AI27" s="319">
        <f t="shared" ref="AI27" si="28">AI95</f>
        <v>2736854</v>
      </c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U27" s="41"/>
      <c r="AV27" s="38"/>
    </row>
    <row r="28" spans="1:48" s="43" customFormat="1" hidden="1" outlineLevel="1" x14ac:dyDescent="0.3">
      <c r="A28" s="41"/>
      <c r="B28" s="300">
        <f t="shared" si="8"/>
        <v>18</v>
      </c>
      <c r="C28" s="598" t="s">
        <v>353</v>
      </c>
      <c r="D28" s="599"/>
      <c r="E28" s="599"/>
      <c r="F28" s="599"/>
      <c r="G28" s="600"/>
      <c r="I28" s="315" t="s">
        <v>59</v>
      </c>
      <c r="J28" s="302"/>
      <c r="K28" s="302"/>
      <c r="L28" s="302"/>
      <c r="M28" s="319">
        <f t="shared" ref="M28:Q30" si="29">M96</f>
        <v>16571783.869999999</v>
      </c>
      <c r="N28" s="319">
        <f t="shared" si="29"/>
        <v>16444000</v>
      </c>
      <c r="O28" s="319">
        <f t="shared" si="29"/>
        <v>16444000</v>
      </c>
      <c r="P28" s="319">
        <f t="shared" si="29"/>
        <v>16444000</v>
      </c>
      <c r="Q28" s="319">
        <f t="shared" si="29"/>
        <v>16444000</v>
      </c>
      <c r="R28" s="319">
        <f t="shared" ref="R28:AH28" si="30">R96</f>
        <v>16444000</v>
      </c>
      <c r="S28" s="319">
        <f t="shared" si="30"/>
        <v>16444000</v>
      </c>
      <c r="T28" s="319">
        <f t="shared" si="30"/>
        <v>16444000</v>
      </c>
      <c r="U28" s="319">
        <f t="shared" si="30"/>
        <v>16444000</v>
      </c>
      <c r="V28" s="319">
        <f t="shared" si="30"/>
        <v>16444000</v>
      </c>
      <c r="W28" s="319">
        <f t="shared" si="30"/>
        <v>16444000</v>
      </c>
      <c r="X28" s="319">
        <f t="shared" si="30"/>
        <v>16444000</v>
      </c>
      <c r="Y28" s="319">
        <f t="shared" si="30"/>
        <v>16444000</v>
      </c>
      <c r="Z28" s="319">
        <f t="shared" si="30"/>
        <v>16444000</v>
      </c>
      <c r="AA28" s="319">
        <f t="shared" si="30"/>
        <v>16444000</v>
      </c>
      <c r="AB28" s="319">
        <f t="shared" si="30"/>
        <v>16444000</v>
      </c>
      <c r="AC28" s="319">
        <f t="shared" si="30"/>
        <v>16444000</v>
      </c>
      <c r="AD28" s="319">
        <f t="shared" si="30"/>
        <v>16444000</v>
      </c>
      <c r="AE28" s="319">
        <f t="shared" si="30"/>
        <v>16444000</v>
      </c>
      <c r="AF28" s="319">
        <f t="shared" si="30"/>
        <v>16444000</v>
      </c>
      <c r="AG28" s="319">
        <f t="shared" si="30"/>
        <v>16444000</v>
      </c>
      <c r="AH28" s="319">
        <f t="shared" si="30"/>
        <v>16444000</v>
      </c>
      <c r="AI28" s="319">
        <f t="shared" ref="AI28" si="31">AI96</f>
        <v>16444000</v>
      </c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U28" s="41"/>
      <c r="AV28" s="38"/>
    </row>
    <row r="29" spans="1:48" s="43" customFormat="1" ht="14.25" hidden="1" customHeight="1" outlineLevel="1" x14ac:dyDescent="0.3">
      <c r="A29" s="41"/>
      <c r="B29" s="300">
        <f t="shared" si="8"/>
        <v>19</v>
      </c>
      <c r="C29" s="608" t="s">
        <v>354</v>
      </c>
      <c r="D29" s="608"/>
      <c r="E29" s="608"/>
      <c r="F29" s="608"/>
      <c r="G29" s="608"/>
      <c r="I29" s="315" t="s">
        <v>59</v>
      </c>
      <c r="J29" s="302"/>
      <c r="K29" s="302"/>
      <c r="L29" s="302"/>
      <c r="M29" s="319">
        <f t="shared" si="29"/>
        <v>0</v>
      </c>
      <c r="N29" s="319">
        <f t="shared" si="29"/>
        <v>0</v>
      </c>
      <c r="O29" s="319">
        <f t="shared" si="29"/>
        <v>0</v>
      </c>
      <c r="P29" s="319">
        <f t="shared" si="29"/>
        <v>0</v>
      </c>
      <c r="Q29" s="319">
        <f t="shared" si="29"/>
        <v>0</v>
      </c>
      <c r="R29" s="319">
        <f t="shared" ref="R29:AH29" si="32">R97</f>
        <v>0</v>
      </c>
      <c r="S29" s="319">
        <f t="shared" si="32"/>
        <v>0</v>
      </c>
      <c r="T29" s="319">
        <f t="shared" si="32"/>
        <v>0</v>
      </c>
      <c r="U29" s="319">
        <f t="shared" si="32"/>
        <v>0</v>
      </c>
      <c r="V29" s="319">
        <f t="shared" si="32"/>
        <v>0</v>
      </c>
      <c r="W29" s="319">
        <f t="shared" si="32"/>
        <v>0</v>
      </c>
      <c r="X29" s="319">
        <f t="shared" si="32"/>
        <v>0</v>
      </c>
      <c r="Y29" s="319">
        <f t="shared" si="32"/>
        <v>0</v>
      </c>
      <c r="Z29" s="319">
        <f t="shared" si="32"/>
        <v>0</v>
      </c>
      <c r="AA29" s="319">
        <f t="shared" si="32"/>
        <v>0</v>
      </c>
      <c r="AB29" s="319">
        <f t="shared" si="32"/>
        <v>0</v>
      </c>
      <c r="AC29" s="319">
        <f t="shared" si="32"/>
        <v>0</v>
      </c>
      <c r="AD29" s="319">
        <f t="shared" si="32"/>
        <v>0</v>
      </c>
      <c r="AE29" s="319">
        <f t="shared" si="32"/>
        <v>0</v>
      </c>
      <c r="AF29" s="319">
        <f t="shared" si="32"/>
        <v>0</v>
      </c>
      <c r="AG29" s="319">
        <f t="shared" si="32"/>
        <v>0</v>
      </c>
      <c r="AH29" s="319">
        <f t="shared" si="32"/>
        <v>0</v>
      </c>
      <c r="AI29" s="319">
        <f t="shared" ref="AI29" si="33">AI97</f>
        <v>0</v>
      </c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U29" s="41"/>
      <c r="AV29" s="38"/>
    </row>
    <row r="30" spans="1:48" s="43" customFormat="1" hidden="1" outlineLevel="1" x14ac:dyDescent="0.3">
      <c r="A30" s="41"/>
      <c r="B30" s="300">
        <f t="shared" si="8"/>
        <v>20</v>
      </c>
      <c r="C30" s="608" t="s">
        <v>62</v>
      </c>
      <c r="D30" s="608"/>
      <c r="E30" s="608"/>
      <c r="F30" s="608"/>
      <c r="G30" s="608"/>
      <c r="I30" s="315" t="s">
        <v>59</v>
      </c>
      <c r="J30" s="302"/>
      <c r="K30" s="302"/>
      <c r="L30" s="302"/>
      <c r="M30" s="319">
        <f t="shared" si="29"/>
        <v>11438299</v>
      </c>
      <c r="N30" s="319">
        <f t="shared" si="29"/>
        <v>11438299</v>
      </c>
      <c r="O30" s="319">
        <f t="shared" si="29"/>
        <v>11438299</v>
      </c>
      <c r="P30" s="319">
        <f t="shared" si="29"/>
        <v>11438299</v>
      </c>
      <c r="Q30" s="319">
        <f t="shared" si="29"/>
        <v>11438299</v>
      </c>
      <c r="R30" s="319">
        <f t="shared" ref="R30:AH30" si="34">R98</f>
        <v>11438299</v>
      </c>
      <c r="S30" s="319">
        <f t="shared" si="34"/>
        <v>11438299</v>
      </c>
      <c r="T30" s="319">
        <f t="shared" si="34"/>
        <v>11438299</v>
      </c>
      <c r="U30" s="319">
        <f t="shared" si="34"/>
        <v>11438299</v>
      </c>
      <c r="V30" s="319">
        <f t="shared" si="34"/>
        <v>11438299</v>
      </c>
      <c r="W30" s="319">
        <f t="shared" si="34"/>
        <v>11438299</v>
      </c>
      <c r="X30" s="319">
        <f t="shared" si="34"/>
        <v>11438299</v>
      </c>
      <c r="Y30" s="319">
        <f t="shared" si="34"/>
        <v>11438299</v>
      </c>
      <c r="Z30" s="319">
        <f t="shared" si="34"/>
        <v>11438299</v>
      </c>
      <c r="AA30" s="319">
        <f t="shared" si="34"/>
        <v>11438299</v>
      </c>
      <c r="AB30" s="319">
        <f t="shared" si="34"/>
        <v>11438299</v>
      </c>
      <c r="AC30" s="319">
        <f t="shared" si="34"/>
        <v>11438299</v>
      </c>
      <c r="AD30" s="319">
        <f t="shared" si="34"/>
        <v>11438299</v>
      </c>
      <c r="AE30" s="319">
        <f t="shared" si="34"/>
        <v>11438299</v>
      </c>
      <c r="AF30" s="319">
        <f t="shared" si="34"/>
        <v>11438299</v>
      </c>
      <c r="AG30" s="319">
        <f t="shared" si="34"/>
        <v>11438299</v>
      </c>
      <c r="AH30" s="319">
        <f t="shared" si="34"/>
        <v>11438299</v>
      </c>
      <c r="AI30" s="319">
        <f t="shared" ref="AI30" si="35">AI98</f>
        <v>11438299</v>
      </c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U30" s="41"/>
      <c r="AV30" s="38"/>
    </row>
    <row r="31" spans="1:48" s="43" customFormat="1" ht="22.5" hidden="1" customHeight="1" outlineLevel="1" x14ac:dyDescent="0.3">
      <c r="A31" s="41"/>
      <c r="B31" s="300">
        <f t="shared" ref="B31" si="36">B30+1</f>
        <v>21</v>
      </c>
      <c r="C31" s="679" t="s">
        <v>364</v>
      </c>
      <c r="D31" s="680"/>
      <c r="E31" s="680"/>
      <c r="F31" s="680"/>
      <c r="G31" s="681"/>
      <c r="H31" s="317"/>
      <c r="I31" s="313" t="s">
        <v>407</v>
      </c>
      <c r="J31" s="302"/>
      <c r="K31" s="302"/>
      <c r="L31" s="302"/>
      <c r="M31" s="321" t="e">
        <f>SUM(M11,M14,M19,M20,M21,M24,M27,M28,M29,M30)/1000</f>
        <v>#REF!</v>
      </c>
      <c r="N31" s="321" t="e">
        <f t="shared" ref="N31:AH31" si="37">SUM(N11,N14,N19,N20,N21,N24,N27,N28,N29,N30)/1000</f>
        <v>#REF!</v>
      </c>
      <c r="O31" s="321" t="e">
        <f t="shared" si="37"/>
        <v>#REF!</v>
      </c>
      <c r="P31" s="321" t="e">
        <f t="shared" si="37"/>
        <v>#REF!</v>
      </c>
      <c r="Q31" s="321" t="e">
        <f t="shared" si="37"/>
        <v>#REF!</v>
      </c>
      <c r="R31" s="321" t="e">
        <f t="shared" si="37"/>
        <v>#REF!</v>
      </c>
      <c r="S31" s="321" t="e">
        <f t="shared" si="37"/>
        <v>#REF!</v>
      </c>
      <c r="T31" s="321" t="e">
        <f t="shared" si="37"/>
        <v>#REF!</v>
      </c>
      <c r="U31" s="321" t="e">
        <f t="shared" si="37"/>
        <v>#REF!</v>
      </c>
      <c r="V31" s="321" t="e">
        <f t="shared" si="37"/>
        <v>#REF!</v>
      </c>
      <c r="W31" s="321" t="e">
        <f t="shared" si="37"/>
        <v>#REF!</v>
      </c>
      <c r="X31" s="321" t="e">
        <f t="shared" si="37"/>
        <v>#REF!</v>
      </c>
      <c r="Y31" s="321" t="e">
        <f t="shared" si="37"/>
        <v>#REF!</v>
      </c>
      <c r="Z31" s="321" t="e">
        <f t="shared" si="37"/>
        <v>#REF!</v>
      </c>
      <c r="AA31" s="321" t="e">
        <f t="shared" si="37"/>
        <v>#REF!</v>
      </c>
      <c r="AB31" s="321" t="e">
        <f t="shared" si="37"/>
        <v>#REF!</v>
      </c>
      <c r="AC31" s="321" t="e">
        <f t="shared" si="37"/>
        <v>#REF!</v>
      </c>
      <c r="AD31" s="321" t="e">
        <f t="shared" si="37"/>
        <v>#REF!</v>
      </c>
      <c r="AE31" s="321" t="e">
        <f t="shared" si="37"/>
        <v>#REF!</v>
      </c>
      <c r="AF31" s="321" t="e">
        <f t="shared" si="37"/>
        <v>#REF!</v>
      </c>
      <c r="AG31" s="321" t="e">
        <f t="shared" si="37"/>
        <v>#REF!</v>
      </c>
      <c r="AH31" s="321" t="e">
        <f t="shared" si="37"/>
        <v>#REF!</v>
      </c>
      <c r="AI31" s="321" t="e">
        <f t="shared" ref="AI31" si="38">SUM(AI11,AI14,AI19,AI20,AI21,AI24,AI27,AI28,AI29,AI30)/1000</f>
        <v>#REF!</v>
      </c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U31" s="41"/>
      <c r="AV31" s="38"/>
    </row>
    <row r="32" spans="1:48" s="43" customFormat="1" ht="16.5" customHeight="1" collapsed="1" x14ac:dyDescent="0.3">
      <c r="A32" s="41"/>
      <c r="B32" s="300">
        <v>1</v>
      </c>
      <c r="C32" s="605" t="s">
        <v>636</v>
      </c>
      <c r="D32" s="606"/>
      <c r="E32" s="606"/>
      <c r="F32" s="606"/>
      <c r="G32" s="607"/>
      <c r="I32" s="315" t="s">
        <v>59</v>
      </c>
      <c r="J32" s="302"/>
      <c r="K32" s="302"/>
      <c r="L32" s="302"/>
      <c r="M32" s="580">
        <v>46770186</v>
      </c>
      <c r="N32" s="580">
        <v>137306648.90000001</v>
      </c>
      <c r="O32" s="580">
        <v>136807547</v>
      </c>
      <c r="P32" s="359">
        <f>$O$32/$O$33*'3.BilantPRO'!J56</f>
        <v>132139884.46464302</v>
      </c>
      <c r="Q32" s="359">
        <f>$O$32/$O$33*'3.BilantPRO'!K56</f>
        <v>129766781.38575299</v>
      </c>
      <c r="R32" s="359">
        <f>$O$32/$O$33*'3.BilantPRO'!L56</f>
        <v>123223109.74413793</v>
      </c>
      <c r="S32" s="359">
        <f>$O$32/$O$33*'3.BilantPRO'!M56</f>
        <v>113632419.42668094</v>
      </c>
      <c r="T32" s="359">
        <f>$O$32/$O$33*'3.BilantPRO'!N56</f>
        <v>103679781.90622628</v>
      </c>
      <c r="U32" s="359">
        <f>$O$32/$O$33*'3.BilantPRO'!O56</f>
        <v>102601676.45640045</v>
      </c>
      <c r="V32" s="359">
        <f>$O$32/$O$33*'3.BilantPRO'!P56</f>
        <v>101541689.65718989</v>
      </c>
      <c r="W32" s="359">
        <f>$O$32/$O$33*'3.BilantPRO'!Q56</f>
        <v>100499496.59627932</v>
      </c>
      <c r="X32" s="359">
        <f>$O$32/$O$33*'3.BilantPRO'!R56</f>
        <v>99474778.276257172</v>
      </c>
      <c r="Y32" s="359">
        <f>$O$32/$O$33*'3.BilantPRO'!S56</f>
        <v>98796697.022336662</v>
      </c>
      <c r="Z32" s="359">
        <f>$O$32/$O$33*'3.BilantPRO'!T56</f>
        <v>98129704.007256716</v>
      </c>
      <c r="AA32" s="359">
        <f>$O$32/$O$33*'3.BilantPRO'!U56</f>
        <v>97473598.239489496</v>
      </c>
      <c r="AB32" s="359">
        <f>$O$32/$O$33*'3.BilantPRO'!V56</f>
        <v>96828182.455966115</v>
      </c>
      <c r="AC32" s="359">
        <f>$O$32/$O$33*'3.BilantPRO'!W56</f>
        <v>96193263.052580103</v>
      </c>
      <c r="AD32" s="359">
        <f>$O$32/$O$33*'3.BilantPRO'!X56</f>
        <v>95568650.015987143</v>
      </c>
      <c r="AE32" s="359">
        <f>$O$32/$O$33*'3.BilantPRO'!Y56</f>
        <v>94954156.856677294</v>
      </c>
      <c r="AF32" s="359">
        <f>$O$32/$O$33*'3.BilantPRO'!Z56</f>
        <v>94349600.543296188</v>
      </c>
      <c r="AG32" s="359">
        <f>$O$32/$O$33*'3.BilantPRO'!AA56</f>
        <v>93754801.438191086</v>
      </c>
      <c r="AH32" s="359">
        <f>$O$32/$O$33*'3.BilantPRO'!AB56</f>
        <v>93169583.234160215</v>
      </c>
      <c r="AI32" s="359">
        <f>$O$32/$O$33*'3.BilantPRO'!AC56</f>
        <v>92593772.892381608</v>
      </c>
      <c r="AJ32" s="359">
        <f>$O$32/$O$33*'3.BilantPRO'!AD56</f>
        <v>92477487.556750536</v>
      </c>
      <c r="AK32" s="359">
        <f>$O$32/$O$33*'3.BilantPRO'!AE56</f>
        <v>92364362.530494347</v>
      </c>
      <c r="AL32" s="359">
        <f>$O$32/$O$33*'3.BilantPRO'!AF56</f>
        <v>92254376.197799459</v>
      </c>
      <c r="AM32" s="359">
        <f>$O$32/$O$33*'3.BilantPRO'!AG56</f>
        <v>92147507.20894675</v>
      </c>
      <c r="AN32" s="359">
        <f>$O$32/$O$33*'3.BilantPRO'!AH56</f>
        <v>92043734.477900311</v>
      </c>
      <c r="AO32" s="359">
        <f>$O$32/$O$33*'3.BilantPRO'!AI56</f>
        <v>91943037.179921731</v>
      </c>
      <c r="AP32" s="359">
        <f>$O$32/$O$33*'3.BilantPRO'!AJ56</f>
        <v>91845394.749209121</v>
      </c>
      <c r="AQ32" s="359">
        <f>$O$32/$O$33*'3.BilantPRO'!AK56</f>
        <v>91750786.87656121</v>
      </c>
      <c r="AR32" s="359">
        <f>$O$32/$O$33*'3.BilantPRO'!AL56</f>
        <v>91659193.507066205</v>
      </c>
      <c r="AS32" s="359">
        <f>$O$32/$O$33*'3.BilantPRO'!AM56</f>
        <v>91570594.837814629</v>
      </c>
      <c r="AU32" s="41"/>
      <c r="AV32" s="38"/>
    </row>
    <row r="33" spans="1:48" s="43" customFormat="1" ht="16.5" customHeight="1" x14ac:dyDescent="0.3">
      <c r="A33" s="41"/>
      <c r="B33" s="300">
        <f>B32+1</f>
        <v>2</v>
      </c>
      <c r="C33" s="605" t="s">
        <v>637</v>
      </c>
      <c r="D33" s="606"/>
      <c r="E33" s="606"/>
      <c r="F33" s="606"/>
      <c r="G33" s="607"/>
      <c r="I33" s="315" t="s">
        <v>34</v>
      </c>
      <c r="J33" s="302"/>
      <c r="K33" s="302"/>
      <c r="L33" s="302"/>
      <c r="M33" s="580">
        <v>151387.00399999999</v>
      </c>
      <c r="N33" s="580">
        <v>215013.16699999999</v>
      </c>
      <c r="O33" s="580">
        <v>179247.09099999999</v>
      </c>
      <c r="P33" s="359">
        <f>'3.BilantPRO'!J56</f>
        <v>173131.45666856633</v>
      </c>
      <c r="Q33" s="359">
        <f>'3.BilantPRO'!K56</f>
        <v>170022.18504677355</v>
      </c>
      <c r="R33" s="359">
        <f>'3.BilantPRO'!L56</f>
        <v>161448.57831279203</v>
      </c>
      <c r="S33" s="359">
        <f>'3.BilantPRO'!M56</f>
        <v>148882.72666364265</v>
      </c>
      <c r="T33" s="359">
        <f>'3.BilantPRO'!N56</f>
        <v>135842.64691337163</v>
      </c>
      <c r="U33" s="359">
        <f>'3.BilantPRO'!O56</f>
        <v>134430.09862996059</v>
      </c>
      <c r="V33" s="359">
        <f>'3.BilantPRO'!P56</f>
        <v>133041.28964666015</v>
      </c>
      <c r="W33" s="359">
        <f>'3.BilantPRO'!Q56</f>
        <v>131675.79425897804</v>
      </c>
      <c r="X33" s="359">
        <f>'3.BilantPRO'!R56</f>
        <v>130333.19451220839</v>
      </c>
      <c r="Y33" s="359">
        <f>'3.BilantPRO'!S56</f>
        <v>129444.76331895788</v>
      </c>
      <c r="Z33" s="359">
        <f>'3.BilantPRO'!T56</f>
        <v>128570.86008560483</v>
      </c>
      <c r="AA33" s="359">
        <f>'3.BilantPRO'!U56</f>
        <v>127711.22147034193</v>
      </c>
      <c r="AB33" s="359">
        <f>'3.BilantPRO'!V56</f>
        <v>126865.58901643899</v>
      </c>
      <c r="AC33" s="359">
        <f>'3.BilantPRO'!W56</f>
        <v>126033.70906118769</v>
      </c>
      <c r="AD33" s="359">
        <f>'3.BilantPRO'!X56</f>
        <v>125215.33264654469</v>
      </c>
      <c r="AE33" s="359">
        <f>'3.BilantPRO'!Y56</f>
        <v>124410.21543144186</v>
      </c>
      <c r="AF33" s="359">
        <f>'3.BilantPRO'!Z56</f>
        <v>123618.1176057331</v>
      </c>
      <c r="AG33" s="359">
        <f>'3.BilantPRO'!AA56</f>
        <v>122838.80380574595</v>
      </c>
      <c r="AH33" s="359">
        <f>'3.BilantPRO'!AB56</f>
        <v>122072.04303140959</v>
      </c>
      <c r="AI33" s="359">
        <f>'3.BilantPRO'!AC56</f>
        <v>121317.60856492849</v>
      </c>
      <c r="AJ33" s="359">
        <f>'3.BilantPRO'!AD56</f>
        <v>121165.24995171669</v>
      </c>
      <c r="AK33" s="359">
        <f>'3.BilantPRO'!AE56</f>
        <v>121017.03201842007</v>
      </c>
      <c r="AL33" s="359">
        <f>'3.BilantPRO'!AF56</f>
        <v>120872.92644370849</v>
      </c>
      <c r="AM33" s="359">
        <f>'3.BilantPRO'!AG56</f>
        <v>120732.90525489235</v>
      </c>
      <c r="AN33" s="359">
        <f>'3.BilantPRO'!AH56</f>
        <v>120596.94082476337</v>
      </c>
      <c r="AO33" s="359">
        <f>'3.BilantPRO'!AI56</f>
        <v>120465.00586846874</v>
      </c>
      <c r="AP33" s="359">
        <f>'3.BilantPRO'!AJ56</f>
        <v>120337.07344041778</v>
      </c>
      <c r="AQ33" s="359">
        <f>'3.BilantPRO'!AK56</f>
        <v>120213.11693122143</v>
      </c>
      <c r="AR33" s="359">
        <f>'3.BilantPRO'!AL56</f>
        <v>120093.11006466408</v>
      </c>
      <c r="AS33" s="359">
        <f>'3.BilantPRO'!AM56</f>
        <v>119977.02689470697</v>
      </c>
      <c r="AU33" s="41"/>
      <c r="AV33" s="38"/>
    </row>
    <row r="34" spans="1:48" s="43" customFormat="1" ht="16.5" customHeight="1" x14ac:dyDescent="0.3">
      <c r="A34" s="41"/>
      <c r="B34" s="300">
        <f t="shared" ref="B34:B38" si="39">B33+1</f>
        <v>3</v>
      </c>
      <c r="C34" s="605" t="s">
        <v>638</v>
      </c>
      <c r="D34" s="606"/>
      <c r="E34" s="606"/>
      <c r="F34" s="606"/>
      <c r="G34" s="607"/>
      <c r="I34" s="315" t="s">
        <v>15</v>
      </c>
      <c r="J34" s="302"/>
      <c r="K34" s="302"/>
      <c r="L34" s="302"/>
      <c r="M34" s="581">
        <v>0.4143</v>
      </c>
      <c r="N34" s="581">
        <v>0.4002</v>
      </c>
      <c r="O34" s="581">
        <v>0.40200000000000002</v>
      </c>
      <c r="P34" s="573">
        <f>O34</f>
        <v>0.40200000000000002</v>
      </c>
      <c r="Q34" s="573">
        <f t="shared" ref="Q34:AI34" si="40">P34</f>
        <v>0.40200000000000002</v>
      </c>
      <c r="R34" s="573">
        <f t="shared" si="40"/>
        <v>0.40200000000000002</v>
      </c>
      <c r="S34" s="573">
        <f t="shared" si="40"/>
        <v>0.40200000000000002</v>
      </c>
      <c r="T34" s="573">
        <f t="shared" si="40"/>
        <v>0.40200000000000002</v>
      </c>
      <c r="U34" s="573">
        <f t="shared" si="40"/>
        <v>0.40200000000000002</v>
      </c>
      <c r="V34" s="573">
        <f t="shared" si="40"/>
        <v>0.40200000000000002</v>
      </c>
      <c r="W34" s="573">
        <f t="shared" si="40"/>
        <v>0.40200000000000002</v>
      </c>
      <c r="X34" s="573">
        <f t="shared" si="40"/>
        <v>0.40200000000000002</v>
      </c>
      <c r="Y34" s="573">
        <f t="shared" si="40"/>
        <v>0.40200000000000002</v>
      </c>
      <c r="Z34" s="573">
        <f t="shared" si="40"/>
        <v>0.40200000000000002</v>
      </c>
      <c r="AA34" s="573">
        <f t="shared" si="40"/>
        <v>0.40200000000000002</v>
      </c>
      <c r="AB34" s="573">
        <f t="shared" si="40"/>
        <v>0.40200000000000002</v>
      </c>
      <c r="AC34" s="573">
        <f t="shared" si="40"/>
        <v>0.40200000000000002</v>
      </c>
      <c r="AD34" s="573">
        <f t="shared" si="40"/>
        <v>0.40200000000000002</v>
      </c>
      <c r="AE34" s="573">
        <f t="shared" si="40"/>
        <v>0.40200000000000002</v>
      </c>
      <c r="AF34" s="573">
        <f t="shared" si="40"/>
        <v>0.40200000000000002</v>
      </c>
      <c r="AG34" s="573">
        <f t="shared" si="40"/>
        <v>0.40200000000000002</v>
      </c>
      <c r="AH34" s="573">
        <f t="shared" si="40"/>
        <v>0.40200000000000002</v>
      </c>
      <c r="AI34" s="573">
        <f t="shared" si="40"/>
        <v>0.40200000000000002</v>
      </c>
      <c r="AJ34" s="573">
        <f t="shared" ref="AJ34:AS34" si="41">AI34</f>
        <v>0.40200000000000002</v>
      </c>
      <c r="AK34" s="573">
        <f t="shared" si="41"/>
        <v>0.40200000000000002</v>
      </c>
      <c r="AL34" s="573">
        <f t="shared" si="41"/>
        <v>0.40200000000000002</v>
      </c>
      <c r="AM34" s="573">
        <f t="shared" si="41"/>
        <v>0.40200000000000002</v>
      </c>
      <c r="AN34" s="573">
        <f t="shared" si="41"/>
        <v>0.40200000000000002</v>
      </c>
      <c r="AO34" s="573">
        <f t="shared" si="41"/>
        <v>0.40200000000000002</v>
      </c>
      <c r="AP34" s="573">
        <f t="shared" si="41"/>
        <v>0.40200000000000002</v>
      </c>
      <c r="AQ34" s="573">
        <f t="shared" si="41"/>
        <v>0.40200000000000002</v>
      </c>
      <c r="AR34" s="573">
        <f t="shared" si="41"/>
        <v>0.40200000000000002</v>
      </c>
      <c r="AS34" s="573">
        <f t="shared" si="41"/>
        <v>0.40200000000000002</v>
      </c>
      <c r="AU34" s="41"/>
      <c r="AV34" s="38"/>
    </row>
    <row r="35" spans="1:48" s="43" customFormat="1" ht="16.5" customHeight="1" x14ac:dyDescent="0.3">
      <c r="A35" s="41"/>
      <c r="B35" s="300">
        <f t="shared" si="39"/>
        <v>4</v>
      </c>
      <c r="C35" s="605" t="s">
        <v>640</v>
      </c>
      <c r="D35" s="606"/>
      <c r="E35" s="606"/>
      <c r="F35" s="606"/>
      <c r="G35" s="607"/>
      <c r="I35" s="315" t="s">
        <v>34</v>
      </c>
      <c r="J35" s="302"/>
      <c r="K35" s="302"/>
      <c r="L35" s="302"/>
      <c r="M35" s="359">
        <f>M33/(1-M34)</f>
        <v>258471.92077855556</v>
      </c>
      <c r="N35" s="359">
        <f>N33/(1-N34)</f>
        <v>358474.76992330776</v>
      </c>
      <c r="O35" s="359">
        <f>O33/(1-O34)</f>
        <v>299744.29933110368</v>
      </c>
      <c r="P35" s="359">
        <f t="shared" ref="P35:AI35" si="42">P33/(1-P34)</f>
        <v>289517.4860678367</v>
      </c>
      <c r="Q35" s="359">
        <f t="shared" si="42"/>
        <v>284318.03519527352</v>
      </c>
      <c r="R35" s="359">
        <f t="shared" si="42"/>
        <v>269980.90018861543</v>
      </c>
      <c r="S35" s="359">
        <f t="shared" si="42"/>
        <v>248967.77034053957</v>
      </c>
      <c r="T35" s="359">
        <f t="shared" si="42"/>
        <v>227161.61691199269</v>
      </c>
      <c r="U35" s="359">
        <f t="shared" si="42"/>
        <v>224799.4960367234</v>
      </c>
      <c r="V35" s="359">
        <f t="shared" si="42"/>
        <v>222477.07298772602</v>
      </c>
      <c r="W35" s="359">
        <f t="shared" si="42"/>
        <v>220193.63588457869</v>
      </c>
      <c r="X35" s="359">
        <f t="shared" si="42"/>
        <v>217948.48580636855</v>
      </c>
      <c r="Y35" s="359">
        <f t="shared" si="42"/>
        <v>216462.81491464528</v>
      </c>
      <c r="Z35" s="359">
        <f t="shared" si="42"/>
        <v>215001.43827024219</v>
      </c>
      <c r="AA35" s="359">
        <f t="shared" si="42"/>
        <v>213563.91550224405</v>
      </c>
      <c r="AB35" s="359">
        <f t="shared" si="42"/>
        <v>212149.81440876087</v>
      </c>
      <c r="AC35" s="359">
        <f t="shared" si="42"/>
        <v>210758.71080466171</v>
      </c>
      <c r="AD35" s="359">
        <f t="shared" si="42"/>
        <v>209390.18837214832</v>
      </c>
      <c r="AE35" s="359">
        <f t="shared" si="42"/>
        <v>208043.83851411683</v>
      </c>
      <c r="AF35" s="359">
        <f t="shared" si="42"/>
        <v>206719.26021025603</v>
      </c>
      <c r="AG35" s="359">
        <f t="shared" si="42"/>
        <v>205416.05987582935</v>
      </c>
      <c r="AH35" s="359">
        <f t="shared" si="42"/>
        <v>204133.85122309296</v>
      </c>
      <c r="AI35" s="359">
        <f t="shared" si="42"/>
        <v>202872.25512529848</v>
      </c>
      <c r="AJ35" s="359">
        <f t="shared" ref="AJ35" si="43">AJ33/(1-AJ34)</f>
        <v>202617.47483564663</v>
      </c>
      <c r="AK35" s="359">
        <f t="shared" ref="AK35" si="44">AK33/(1-AK34)</f>
        <v>202369.61875989978</v>
      </c>
      <c r="AL35" s="359">
        <f t="shared" ref="AL35" si="45">AL33/(1-AL34)</f>
        <v>202128.63953797409</v>
      </c>
      <c r="AM35" s="359">
        <f t="shared" ref="AM35" si="46">AM33/(1-AM34)</f>
        <v>201894.49039279658</v>
      </c>
      <c r="AN35" s="359">
        <f t="shared" ref="AN35" si="47">AN33/(1-AN34)</f>
        <v>201667.12512502237</v>
      </c>
      <c r="AO35" s="359">
        <f t="shared" ref="AO35" si="48">AO33/(1-AO34)</f>
        <v>201446.49810780727</v>
      </c>
      <c r="AP35" s="359">
        <f t="shared" ref="AP35" si="49">AP33/(1-AP34)</f>
        <v>201232.5642816351</v>
      </c>
      <c r="AQ35" s="359">
        <f t="shared" ref="AQ35" si="50">AQ33/(1-AQ34)</f>
        <v>201025.27914919972</v>
      </c>
      <c r="AR35" s="359">
        <f t="shared" ref="AR35" si="51">AR33/(1-AR34)</f>
        <v>200824.59877034128</v>
      </c>
      <c r="AS35" s="359">
        <f t="shared" ref="AS35" si="52">AS33/(1-AS34)</f>
        <v>200630.47975703506</v>
      </c>
      <c r="AU35" s="41"/>
      <c r="AV35" s="38"/>
    </row>
    <row r="36" spans="1:48" s="43" customFormat="1" ht="16.5" customHeight="1" x14ac:dyDescent="0.3">
      <c r="A36" s="41"/>
      <c r="B36" s="300">
        <f t="shared" si="39"/>
        <v>5</v>
      </c>
      <c r="C36" s="605" t="s">
        <v>639</v>
      </c>
      <c r="D36" s="606"/>
      <c r="E36" s="606"/>
      <c r="F36" s="606"/>
      <c r="G36" s="607"/>
      <c r="I36" s="315" t="s">
        <v>643</v>
      </c>
      <c r="J36" s="302"/>
      <c r="K36" s="302"/>
      <c r="L36" s="302"/>
      <c r="M36" s="577">
        <v>2.4209999999999998</v>
      </c>
      <c r="N36" s="577">
        <v>2.6513784090915431</v>
      </c>
      <c r="O36" s="577">
        <v>2.5444680039219603</v>
      </c>
      <c r="P36" s="575">
        <f>O36</f>
        <v>2.5444680039219603</v>
      </c>
      <c r="Q36" s="575">
        <f t="shared" ref="Q36:AI36" si="53">P36</f>
        <v>2.5444680039219603</v>
      </c>
      <c r="R36" s="575">
        <f t="shared" si="53"/>
        <v>2.5444680039219603</v>
      </c>
      <c r="S36" s="575">
        <f t="shared" si="53"/>
        <v>2.5444680039219603</v>
      </c>
      <c r="T36" s="575">
        <f t="shared" si="53"/>
        <v>2.5444680039219603</v>
      </c>
      <c r="U36" s="575">
        <f t="shared" si="53"/>
        <v>2.5444680039219603</v>
      </c>
      <c r="V36" s="575">
        <f t="shared" si="53"/>
        <v>2.5444680039219603</v>
      </c>
      <c r="W36" s="575">
        <f t="shared" si="53"/>
        <v>2.5444680039219603</v>
      </c>
      <c r="X36" s="575">
        <f t="shared" si="53"/>
        <v>2.5444680039219603</v>
      </c>
      <c r="Y36" s="575">
        <f t="shared" si="53"/>
        <v>2.5444680039219603</v>
      </c>
      <c r="Z36" s="575">
        <f t="shared" si="53"/>
        <v>2.5444680039219603</v>
      </c>
      <c r="AA36" s="575">
        <f t="shared" si="53"/>
        <v>2.5444680039219603</v>
      </c>
      <c r="AB36" s="575">
        <f t="shared" si="53"/>
        <v>2.5444680039219603</v>
      </c>
      <c r="AC36" s="575">
        <f t="shared" si="53"/>
        <v>2.5444680039219603</v>
      </c>
      <c r="AD36" s="575">
        <f t="shared" si="53"/>
        <v>2.5444680039219603</v>
      </c>
      <c r="AE36" s="575">
        <f t="shared" si="53"/>
        <v>2.5444680039219603</v>
      </c>
      <c r="AF36" s="575">
        <f t="shared" si="53"/>
        <v>2.5444680039219603</v>
      </c>
      <c r="AG36" s="575">
        <f t="shared" si="53"/>
        <v>2.5444680039219603</v>
      </c>
      <c r="AH36" s="575">
        <f t="shared" si="53"/>
        <v>2.5444680039219603</v>
      </c>
      <c r="AI36" s="575">
        <f t="shared" si="53"/>
        <v>2.5444680039219603</v>
      </c>
      <c r="AJ36" s="575">
        <f t="shared" ref="AJ36:AS36" si="54">AI36</f>
        <v>2.5444680039219603</v>
      </c>
      <c r="AK36" s="575">
        <f t="shared" si="54"/>
        <v>2.5444680039219603</v>
      </c>
      <c r="AL36" s="575">
        <f t="shared" si="54"/>
        <v>2.5444680039219603</v>
      </c>
      <c r="AM36" s="575">
        <f t="shared" si="54"/>
        <v>2.5444680039219603</v>
      </c>
      <c r="AN36" s="575">
        <f t="shared" si="54"/>
        <v>2.5444680039219603</v>
      </c>
      <c r="AO36" s="575">
        <f t="shared" si="54"/>
        <v>2.5444680039219603</v>
      </c>
      <c r="AP36" s="575">
        <f t="shared" si="54"/>
        <v>2.5444680039219603</v>
      </c>
      <c r="AQ36" s="575">
        <f t="shared" si="54"/>
        <v>2.5444680039219603</v>
      </c>
      <c r="AR36" s="575">
        <f t="shared" si="54"/>
        <v>2.5444680039219603</v>
      </c>
      <c r="AS36" s="575">
        <f t="shared" si="54"/>
        <v>2.5444680039219603</v>
      </c>
      <c r="AU36" s="41"/>
      <c r="AV36" s="38"/>
    </row>
    <row r="37" spans="1:48" s="43" customFormat="1" ht="16.5" customHeight="1" x14ac:dyDescent="0.3">
      <c r="A37" s="41"/>
      <c r="B37" s="300">
        <f t="shared" si="39"/>
        <v>6</v>
      </c>
      <c r="C37" s="605" t="s">
        <v>641</v>
      </c>
      <c r="D37" s="606"/>
      <c r="E37" s="606"/>
      <c r="F37" s="606"/>
      <c r="G37" s="607"/>
      <c r="I37" s="315" t="s">
        <v>359</v>
      </c>
      <c r="J37" s="302"/>
      <c r="K37" s="302"/>
      <c r="L37" s="302"/>
      <c r="M37" s="359">
        <f>M35*M36</f>
        <v>625760.52020488295</v>
      </c>
      <c r="N37" s="359">
        <f>N35*N36</f>
        <v>950452.26517871663</v>
      </c>
      <c r="O37" s="359">
        <f>O35*O36</f>
        <v>762689.77900599991</v>
      </c>
      <c r="P37" s="359">
        <f t="shared" ref="P37:AI37" si="55">P35*P36</f>
        <v>736667.97987553233</v>
      </c>
      <c r="Q37" s="359">
        <f t="shared" si="55"/>
        <v>723438.14349233126</v>
      </c>
      <c r="R37" s="359">
        <f t="shared" si="55"/>
        <v>686957.76219998032</v>
      </c>
      <c r="S37" s="359">
        <f t="shared" si="55"/>
        <v>633490.52563929372</v>
      </c>
      <c r="T37" s="359">
        <f t="shared" si="55"/>
        <v>578005.46595174307</v>
      </c>
      <c r="U37" s="359">
        <f t="shared" si="55"/>
        <v>571995.12496322417</v>
      </c>
      <c r="V37" s="359">
        <f t="shared" si="55"/>
        <v>566085.79382347944</v>
      </c>
      <c r="W37" s="359">
        <f t="shared" si="55"/>
        <v>560275.66117555287</v>
      </c>
      <c r="X37" s="359">
        <f t="shared" si="55"/>
        <v>554562.94863754429</v>
      </c>
      <c r="Y37" s="359">
        <f t="shared" si="55"/>
        <v>550782.70658919623</v>
      </c>
      <c r="Z37" s="359">
        <f t="shared" si="55"/>
        <v>547064.28047583369</v>
      </c>
      <c r="AA37" s="359">
        <f t="shared" si="55"/>
        <v>543406.54978775315</v>
      </c>
      <c r="AB37" s="359">
        <f t="shared" si="55"/>
        <v>539808.41480107408</v>
      </c>
      <c r="AC37" s="359">
        <f t="shared" si="55"/>
        <v>536268.79619030328</v>
      </c>
      <c r="AD37" s="359">
        <f t="shared" si="55"/>
        <v>532786.63464812352</v>
      </c>
      <c r="AE37" s="359">
        <f t="shared" si="55"/>
        <v>529360.89051227749</v>
      </c>
      <c r="AF37" s="359">
        <f t="shared" si="55"/>
        <v>525990.54339941451</v>
      </c>
      <c r="AG37" s="359">
        <f t="shared" si="55"/>
        <v>522674.59184576536</v>
      </c>
      <c r="AH37" s="359">
        <f t="shared" si="55"/>
        <v>519412.05295452575</v>
      </c>
      <c r="AI37" s="359">
        <f t="shared" si="55"/>
        <v>516201.96204981493</v>
      </c>
      <c r="AJ37" s="359">
        <f t="shared" ref="AJ37" si="56">AJ35*AJ36</f>
        <v>515553.6817547658</v>
      </c>
      <c r="AK37" s="359">
        <f t="shared" ref="AK37" si="57">AK35*AK36</f>
        <v>514923.01990045025</v>
      </c>
      <c r="AL37" s="359">
        <f t="shared" ref="AL37" si="58">AL35*AL36</f>
        <v>514309.85598065035</v>
      </c>
      <c r="AM37" s="359">
        <f t="shared" ref="AM37" si="59">AM35*AM36</f>
        <v>513714.07097260049</v>
      </c>
      <c r="AN37" s="359">
        <f t="shared" ref="AN37" si="60">AN35*AN36</f>
        <v>513135.54732354585</v>
      </c>
      <c r="AO37" s="359">
        <f t="shared" ref="AO37" si="61">AO35*AO36</f>
        <v>512574.16893744131</v>
      </c>
      <c r="AP37" s="359">
        <f t="shared" ref="AP37" si="62">AP35*AP36</f>
        <v>512029.82116178964</v>
      </c>
      <c r="AQ37" s="359">
        <f t="shared" ref="AQ37" si="63">AQ35*AQ36</f>
        <v>511502.39077461907</v>
      </c>
      <c r="AR37" s="359">
        <f t="shared" ref="AR37" si="64">AR35*AR36</f>
        <v>510991.76597159886</v>
      </c>
      <c r="AS37" s="359">
        <f t="shared" ref="AS37" si="65">AS35*AS36</f>
        <v>510497.83635328826</v>
      </c>
      <c r="AU37" s="41"/>
      <c r="AV37" s="38"/>
    </row>
    <row r="38" spans="1:48" s="317" customFormat="1" ht="16.5" customHeight="1" x14ac:dyDescent="0.3">
      <c r="A38" s="337"/>
      <c r="B38" s="300">
        <f t="shared" si="39"/>
        <v>7</v>
      </c>
      <c r="C38" s="682" t="s">
        <v>642</v>
      </c>
      <c r="D38" s="682"/>
      <c r="E38" s="682"/>
      <c r="F38" s="682"/>
      <c r="G38" s="682"/>
      <c r="I38" s="572" t="s">
        <v>144</v>
      </c>
      <c r="J38" s="318"/>
      <c r="K38" s="318"/>
      <c r="L38" s="318"/>
      <c r="M38" s="576">
        <f>M32/M37</f>
        <v>74.741349909206122</v>
      </c>
      <c r="N38" s="576">
        <f>N32/N37</f>
        <v>144.46453959913683</v>
      </c>
      <c r="O38" s="576">
        <f>O32/O37</f>
        <v>179.37508901495815</v>
      </c>
      <c r="P38" s="576">
        <f t="shared" ref="P38:AI38" si="66">P32/P37</f>
        <v>179.37508901495815</v>
      </c>
      <c r="Q38" s="576">
        <f t="shared" si="66"/>
        <v>179.37508901495815</v>
      </c>
      <c r="R38" s="576">
        <f t="shared" si="66"/>
        <v>179.37508901495815</v>
      </c>
      <c r="S38" s="576">
        <f t="shared" si="66"/>
        <v>179.37508901495815</v>
      </c>
      <c r="T38" s="576">
        <f t="shared" si="66"/>
        <v>179.37508901495815</v>
      </c>
      <c r="U38" s="576">
        <f t="shared" si="66"/>
        <v>179.37508901495818</v>
      </c>
      <c r="V38" s="576">
        <f t="shared" si="66"/>
        <v>179.37508901495818</v>
      </c>
      <c r="W38" s="576">
        <f t="shared" si="66"/>
        <v>179.37508901495815</v>
      </c>
      <c r="X38" s="576">
        <f t="shared" si="66"/>
        <v>179.37508901495815</v>
      </c>
      <c r="Y38" s="576">
        <f t="shared" si="66"/>
        <v>179.37508901495818</v>
      </c>
      <c r="Z38" s="576">
        <f t="shared" si="66"/>
        <v>179.37508901495818</v>
      </c>
      <c r="AA38" s="576">
        <f t="shared" si="66"/>
        <v>179.37508901495812</v>
      </c>
      <c r="AB38" s="576">
        <f t="shared" si="66"/>
        <v>179.37508901495815</v>
      </c>
      <c r="AC38" s="576">
        <f t="shared" si="66"/>
        <v>179.37508901495815</v>
      </c>
      <c r="AD38" s="576">
        <f t="shared" si="66"/>
        <v>179.37508901495815</v>
      </c>
      <c r="AE38" s="576">
        <f t="shared" si="66"/>
        <v>179.37508901495815</v>
      </c>
      <c r="AF38" s="576">
        <f t="shared" si="66"/>
        <v>179.37508901495815</v>
      </c>
      <c r="AG38" s="576">
        <f t="shared" si="66"/>
        <v>179.37508901495815</v>
      </c>
      <c r="AH38" s="576">
        <f t="shared" si="66"/>
        <v>179.37508901495815</v>
      </c>
      <c r="AI38" s="576">
        <f t="shared" si="66"/>
        <v>179.37508901495815</v>
      </c>
      <c r="AJ38" s="576">
        <f t="shared" ref="AJ38" si="67">AJ32/AJ37</f>
        <v>179.37508901495818</v>
      </c>
      <c r="AK38" s="576">
        <f t="shared" ref="AK38" si="68">AK32/AK37</f>
        <v>179.37508901495818</v>
      </c>
      <c r="AL38" s="576">
        <f t="shared" ref="AL38" si="69">AL32/AL37</f>
        <v>179.37508901495815</v>
      </c>
      <c r="AM38" s="576">
        <f t="shared" ref="AM38" si="70">AM32/AM37</f>
        <v>179.37508901495818</v>
      </c>
      <c r="AN38" s="576">
        <f t="shared" ref="AN38" si="71">AN32/AN37</f>
        <v>179.37508901495815</v>
      </c>
      <c r="AO38" s="576">
        <f t="shared" ref="AO38" si="72">AO32/AO37</f>
        <v>179.37508901495815</v>
      </c>
      <c r="AP38" s="576">
        <f t="shared" ref="AP38" si="73">AP32/AP37</f>
        <v>179.37508901495815</v>
      </c>
      <c r="AQ38" s="576">
        <f t="shared" ref="AQ38" si="74">AQ32/AQ37</f>
        <v>179.37508901495815</v>
      </c>
      <c r="AR38" s="576">
        <f t="shared" ref="AR38" si="75">AR32/AR37</f>
        <v>179.37508901495815</v>
      </c>
      <c r="AS38" s="576">
        <f t="shared" ref="AS38" si="76">AS32/AS37</f>
        <v>179.37508901495818</v>
      </c>
      <c r="AU38" s="337"/>
      <c r="AV38" s="320"/>
    </row>
    <row r="39" spans="1:48" s="43" customFormat="1" ht="16.5" customHeight="1" x14ac:dyDescent="0.3">
      <c r="A39" s="41"/>
      <c r="B39" s="300"/>
      <c r="C39" s="683"/>
      <c r="D39" s="683"/>
      <c r="E39" s="683"/>
      <c r="F39" s="683"/>
      <c r="G39" s="683"/>
      <c r="I39" s="302"/>
      <c r="J39" s="302"/>
      <c r="K39" s="302"/>
      <c r="L39" s="302"/>
      <c r="M39" s="302"/>
      <c r="N39" s="302"/>
      <c r="O39" s="302"/>
      <c r="P39" s="302"/>
      <c r="AU39" s="41"/>
      <c r="AV39" s="38"/>
    </row>
    <row r="40" spans="1:48" s="43" customFormat="1" ht="16.5" customHeight="1" x14ac:dyDescent="0.3">
      <c r="A40" s="41"/>
      <c r="B40" s="300">
        <f>B38+1</f>
        <v>8</v>
      </c>
      <c r="C40" s="608" t="s">
        <v>358</v>
      </c>
      <c r="D40" s="608"/>
      <c r="E40" s="608"/>
      <c r="F40" s="608"/>
      <c r="G40" s="608"/>
      <c r="I40" s="315" t="s">
        <v>144</v>
      </c>
      <c r="J40" s="302"/>
      <c r="K40" s="302"/>
      <c r="L40" s="302"/>
      <c r="M40" s="580">
        <v>0</v>
      </c>
      <c r="N40" s="580">
        <v>0</v>
      </c>
      <c r="O40" s="359">
        <f>'1.Input'!O72</f>
        <v>310.92436974789916</v>
      </c>
      <c r="P40" s="359">
        <f>'1.Input'!P72</f>
        <v>310.92436974789916</v>
      </c>
      <c r="Q40" s="44">
        <f>'1.Input'!Q70*'1.Input'!Q37+'1.Input'!Q73+'1.Input'!Q74</f>
        <v>232.57017182035796</v>
      </c>
      <c r="R40" s="44">
        <f>'1.Input'!R70*'1.Input'!R37+'1.Input'!R73+'1.Input'!R74</f>
        <v>220.29890488425275</v>
      </c>
      <c r="S40" s="44">
        <f>'1.Input'!S70*'1.Input'!S37+'1.Input'!S73+'1.Input'!S74</f>
        <v>207.68270455045464</v>
      </c>
      <c r="T40" s="44">
        <f>'1.Input'!T70*'1.Input'!T37+'1.Input'!T73+'1.Input'!T74</f>
        <v>193.43590997301735</v>
      </c>
      <c r="U40" s="44">
        <f>'1.Input'!U70*'1.Input'!U37+'1.Input'!U73+'1.Input'!U74</f>
        <v>178.48879607299142</v>
      </c>
      <c r="V40" s="44">
        <f>'1.Input'!V70*'1.Input'!V37+'1.Input'!V73+'1.Input'!V74</f>
        <v>163.54168217296549</v>
      </c>
      <c r="W40" s="44">
        <f>'1.Input'!W70*'1.Input'!W37+'1.Input'!W73+'1.Input'!W74</f>
        <v>148.59456827293951</v>
      </c>
      <c r="X40" s="44">
        <f>'1.Input'!X70*'1.Input'!X37+'1.Input'!X73+'1.Input'!X74</f>
        <v>145.33337978566112</v>
      </c>
      <c r="Y40" s="44">
        <f>'1.Input'!Y70*'1.Input'!Y37+'1.Input'!Y73+'1.Input'!Y74</f>
        <v>142.07219129838273</v>
      </c>
      <c r="Z40" s="44">
        <f>'1.Input'!Z70*'1.Input'!Z37+'1.Input'!Z73+'1.Input'!Z74</f>
        <v>138.81100281110434</v>
      </c>
      <c r="AA40" s="44">
        <f>'1.Input'!AA70*'1.Input'!AA37+'1.Input'!AA73+'1.Input'!AA74</f>
        <v>135.54981432382596</v>
      </c>
      <c r="AB40" s="44">
        <f>'1.Input'!AB70*'1.Input'!AB37+'1.Input'!AB73+'1.Input'!AB74</f>
        <v>132.28862583654757</v>
      </c>
      <c r="AC40" s="44">
        <f>'1.Input'!AC70*'1.Input'!AC37+'1.Input'!AC73+'1.Input'!AC74</f>
        <v>132.28862583654757</v>
      </c>
      <c r="AD40" s="44">
        <f>'1.Input'!AD70*'1.Input'!AD37+'1.Input'!AD73+'1.Input'!AD74</f>
        <v>132.28862583654757</v>
      </c>
      <c r="AE40" s="44">
        <f>'1.Input'!AE70*'1.Input'!AE37+'1.Input'!AE73+'1.Input'!AE74</f>
        <v>132.28862583654757</v>
      </c>
      <c r="AF40" s="44">
        <f>'1.Input'!AF70*'1.Input'!AF37+'1.Input'!AF73+'1.Input'!AF74</f>
        <v>132.28862583654757</v>
      </c>
      <c r="AG40" s="44">
        <f>'1.Input'!AG70*'1.Input'!AG37+'1.Input'!AG73+'1.Input'!AG74</f>
        <v>132.28862583654757</v>
      </c>
      <c r="AH40" s="44">
        <f>'1.Input'!AH70*'1.Input'!AH37+'1.Input'!AH73+'1.Input'!AH74</f>
        <v>132.28862583654757</v>
      </c>
      <c r="AI40" s="44">
        <f>'1.Input'!AI70*'1.Input'!AI37+'1.Input'!AI73+'1.Input'!AI74</f>
        <v>132.28862583654757</v>
      </c>
      <c r="AJ40" s="44">
        <f>'1.Input'!AJ70*'1.Input'!AJ37+'1.Input'!AJ73+'1.Input'!AJ74</f>
        <v>132.28862583654757</v>
      </c>
      <c r="AK40" s="44">
        <f>'1.Input'!AK70*'1.Input'!AK37+'1.Input'!AK73+'1.Input'!AK74</f>
        <v>132.28862583654757</v>
      </c>
      <c r="AL40" s="44">
        <f>'1.Input'!AL70*'1.Input'!AL37+'1.Input'!AL73+'1.Input'!AL74</f>
        <v>132.28862583654757</v>
      </c>
      <c r="AM40" s="44">
        <f>'1.Input'!AM70*'1.Input'!AM37+'1.Input'!AM73+'1.Input'!AM74</f>
        <v>132.28862583654757</v>
      </c>
      <c r="AN40" s="44">
        <f>'1.Input'!AN70*'1.Input'!AN37+'1.Input'!AN73+'1.Input'!AN74</f>
        <v>132.28862583654757</v>
      </c>
      <c r="AO40" s="44">
        <f>'1.Input'!AO70*'1.Input'!AO37+'1.Input'!AO73+'1.Input'!AO74</f>
        <v>132.28862583654757</v>
      </c>
      <c r="AP40" s="44">
        <f>'1.Input'!AP70*'1.Input'!AP37+'1.Input'!AP73+'1.Input'!AP74</f>
        <v>132.28862583654757</v>
      </c>
      <c r="AQ40" s="44">
        <f>'1.Input'!AQ70*'1.Input'!AQ37+'1.Input'!AQ73+'1.Input'!AQ74</f>
        <v>132.28862583654757</v>
      </c>
      <c r="AR40" s="44">
        <f>'1.Input'!AR70*'1.Input'!AR37+'1.Input'!AR73+'1.Input'!AR74</f>
        <v>132.28862583654757</v>
      </c>
      <c r="AS40" s="44">
        <f>'1.Input'!AS70*'1.Input'!AS37+'1.Input'!AS73+'1.Input'!AS74</f>
        <v>132.28862583654757</v>
      </c>
      <c r="AU40" s="41"/>
      <c r="AV40" s="38"/>
    </row>
    <row r="41" spans="1:48" s="43" customFormat="1" ht="16.5" customHeight="1" x14ac:dyDescent="0.3">
      <c r="A41" s="41"/>
      <c r="B41" s="300">
        <f>B40+1</f>
        <v>9</v>
      </c>
      <c r="C41" s="608" t="s">
        <v>644</v>
      </c>
      <c r="D41" s="608"/>
      <c r="E41" s="608"/>
      <c r="F41" s="608"/>
      <c r="G41" s="608"/>
      <c r="I41" s="315" t="s">
        <v>15</v>
      </c>
      <c r="J41" s="302"/>
      <c r="K41" s="302"/>
      <c r="L41" s="302"/>
      <c r="M41" s="307">
        <v>1</v>
      </c>
      <c r="N41" s="307">
        <v>1</v>
      </c>
      <c r="O41" s="307">
        <v>1</v>
      </c>
      <c r="P41" s="301">
        <f>'3.BilantPRO'!J55/('3.BilantPRO'!J55+'3.BilantPRO'!J52)</f>
        <v>0.81757295141613184</v>
      </c>
      <c r="Q41" s="301">
        <f>'3.BilantPRO'!K55/('3.BilantPRO'!K55+'3.BilantPRO'!K52)</f>
        <v>0.81485449504475005</v>
      </c>
      <c r="R41" s="301">
        <f>'3.BilantPRO'!L55/('3.BilantPRO'!L55+'3.BilantPRO'!L52)</f>
        <v>0.80781690462439071</v>
      </c>
      <c r="S41" s="301">
        <f>'3.BilantPRO'!M55/('3.BilantPRO'!M55+'3.BilantPRO'!M52)</f>
        <v>0.796556684558272</v>
      </c>
      <c r="T41" s="301">
        <f>'3.BilantPRO'!N55/('3.BilantPRO'!N55+'3.BilantPRO'!N52)</f>
        <v>0.78311929950425496</v>
      </c>
      <c r="U41" s="301">
        <f>'3.BilantPRO'!O55/('3.BilantPRO'!O55+'3.BilantPRO'!O52)</f>
        <v>0.78133869681253187</v>
      </c>
      <c r="V41" s="301">
        <f>'3.BilantPRO'!P55/('3.BilantPRO'!P55+'3.BilantPRO'!P52)</f>
        <v>0.77955928221066362</v>
      </c>
      <c r="W41" s="301">
        <f>'3.BilantPRO'!Q55/('3.BilantPRO'!Q55+'3.BilantPRO'!Q52)</f>
        <v>0.77778127470268821</v>
      </c>
      <c r="X41" s="301">
        <f>'3.BilantPRO'!R55/('3.BilantPRO'!R55+'3.BilantPRO'!R52)</f>
        <v>0.77600489160683017</v>
      </c>
      <c r="Y41" s="301">
        <f>'3.BilantPRO'!S55/('3.BilantPRO'!S55+'3.BilantPRO'!S52)</f>
        <v>0.77481371776401653</v>
      </c>
      <c r="Z41" s="301">
        <f>'3.BilantPRO'!T55/('3.BilantPRO'!T55+'3.BilantPRO'!T52)</f>
        <v>0.77362959752389571</v>
      </c>
      <c r="AA41" s="301">
        <f>'3.BilantPRO'!U55/('3.BilantPRO'!U55+'3.BilantPRO'!U52)</f>
        <v>0.77245259244916453</v>
      </c>
      <c r="AB41" s="301">
        <f>'3.BilantPRO'!V55/('3.BilantPRO'!V55+'3.BilantPRO'!V52)</f>
        <v>0.77128276093046633</v>
      </c>
      <c r="AC41" s="301">
        <f>'3.BilantPRO'!W55/('3.BilantPRO'!W55+'3.BilantPRO'!W52)</f>
        <v>0.77012015821320789</v>
      </c>
      <c r="AD41" s="301">
        <f>'3.BilantPRO'!X55/('3.BilantPRO'!X55+'3.BilantPRO'!X52)</f>
        <v>0.76896483642637103</v>
      </c>
      <c r="AE41" s="301">
        <f>'3.BilantPRO'!Y55/('3.BilantPRO'!Y55+'3.BilantPRO'!Y52)</f>
        <v>0.76781684461323552</v>
      </c>
      <c r="AF41" s="301">
        <f>'3.BilantPRO'!Z55/('3.BilantPRO'!Z55+'3.BilantPRO'!Z52)</f>
        <v>0.76667622876392982</v>
      </c>
      <c r="AG41" s="301">
        <f>'3.BilantPRO'!AA55/('3.BilantPRO'!AA55+'3.BilantPRO'!AA52)</f>
        <v>0.76554303184972539</v>
      </c>
      <c r="AH41" s="301">
        <f>'3.BilantPRO'!AB55/('3.BilantPRO'!AB55+'3.BilantPRO'!AB52)</f>
        <v>0.76441729385899049</v>
      </c>
      <c r="AI41" s="301">
        <f>'3.BilantPRO'!AC55/('3.BilantPRO'!AC55+'3.BilantPRO'!AC52)</f>
        <v>0.76329905183471813</v>
      </c>
      <c r="AJ41" s="301">
        <f>'3.BilantPRO'!AD55/('3.BilantPRO'!AD55+'3.BilantPRO'!AD52)</f>
        <v>0.76307193234409776</v>
      </c>
      <c r="AK41" s="301">
        <f>'3.BilantPRO'!AE55/('3.BilantPRO'!AE55+'3.BilantPRO'!AE52)</f>
        <v>0.76285056668876716</v>
      </c>
      <c r="AL41" s="301">
        <f>'3.BilantPRO'!AF55/('3.BilantPRO'!AF55+'3.BilantPRO'!AF52)</f>
        <v>0.76263494594587922</v>
      </c>
      <c r="AM41" s="301">
        <f>'3.BilantPRO'!AG55/('3.BilantPRO'!AG55+'3.BilantPRO'!AG52)</f>
        <v>0.76242506063123716</v>
      </c>
      <c r="AN41" s="301">
        <f>'3.BilantPRO'!AH55/('3.BilantPRO'!AH55+'3.BilantPRO'!AH52)</f>
        <v>0.76222090070697068</v>
      </c>
      <c r="AO41" s="301">
        <f>'3.BilantPRO'!AI55/('3.BilantPRO'!AI55+'3.BilantPRO'!AI52)</f>
        <v>0.76202245558927029</v>
      </c>
      <c r="AP41" s="301">
        <f>'3.BilantPRO'!AJ55/('3.BilantPRO'!AJ55+'3.BilantPRO'!AJ52)</f>
        <v>0.76182971415617584</v>
      </c>
      <c r="AQ41" s="301">
        <f>'3.BilantPRO'!AK55/('3.BilantPRO'!AK55+'3.BilantPRO'!AK52)</f>
        <v>0.7616426647554142</v>
      </c>
      <c r="AR41" s="301">
        <f>'3.BilantPRO'!AL55/('3.BilantPRO'!AL55+'3.BilantPRO'!AL52)</f>
        <v>0.76146129521228312</v>
      </c>
      <c r="AS41" s="301">
        <f>'3.BilantPRO'!AM55/('3.BilantPRO'!AM55+'3.BilantPRO'!AM52)</f>
        <v>0.76128559283757646</v>
      </c>
      <c r="AU41" s="41"/>
      <c r="AV41" s="38"/>
    </row>
    <row r="42" spans="1:48" s="43" customFormat="1" ht="27.75" customHeight="1" x14ac:dyDescent="0.3">
      <c r="A42" s="41"/>
      <c r="B42" s="300">
        <f t="shared" ref="B42:B44" si="77">B41+1</f>
        <v>10</v>
      </c>
      <c r="C42" s="608" t="s">
        <v>645</v>
      </c>
      <c r="D42" s="608"/>
      <c r="E42" s="608"/>
      <c r="F42" s="608"/>
      <c r="G42" s="608"/>
      <c r="I42" s="315" t="s">
        <v>15</v>
      </c>
      <c r="J42" s="302"/>
      <c r="K42" s="302"/>
      <c r="L42" s="302"/>
      <c r="M42" s="301">
        <f t="shared" ref="M42:N42" si="78">1-M41</f>
        <v>0</v>
      </c>
      <c r="N42" s="301">
        <f t="shared" si="78"/>
        <v>0</v>
      </c>
      <c r="O42" s="301">
        <f>1-O41</f>
        <v>0</v>
      </c>
      <c r="P42" s="301">
        <f>1-P41</f>
        <v>0.18242704858386816</v>
      </c>
      <c r="Q42" s="301">
        <f t="shared" ref="Q42:AI42" si="79">1-Q41</f>
        <v>0.18514550495524995</v>
      </c>
      <c r="R42" s="301">
        <f t="shared" si="79"/>
        <v>0.19218309537560929</v>
      </c>
      <c r="S42" s="301">
        <f t="shared" si="79"/>
        <v>0.203443315441728</v>
      </c>
      <c r="T42" s="301">
        <f t="shared" si="79"/>
        <v>0.21688070049574504</v>
      </c>
      <c r="U42" s="301">
        <f t="shared" si="79"/>
        <v>0.21866130318746813</v>
      </c>
      <c r="V42" s="301">
        <f t="shared" si="79"/>
        <v>0.22044071778933638</v>
      </c>
      <c r="W42" s="301">
        <f t="shared" si="79"/>
        <v>0.22221872529731179</v>
      </c>
      <c r="X42" s="301">
        <f t="shared" si="79"/>
        <v>0.22399510839316983</v>
      </c>
      <c r="Y42" s="301">
        <f t="shared" si="79"/>
        <v>0.22518628223598347</v>
      </c>
      <c r="Z42" s="301">
        <f t="shared" si="79"/>
        <v>0.22637040247610429</v>
      </c>
      <c r="AA42" s="301">
        <f t="shared" si="79"/>
        <v>0.22754740755083547</v>
      </c>
      <c r="AB42" s="301">
        <f t="shared" si="79"/>
        <v>0.22871723906953367</v>
      </c>
      <c r="AC42" s="301">
        <f t="shared" si="79"/>
        <v>0.22987984178679211</v>
      </c>
      <c r="AD42" s="301">
        <f t="shared" si="79"/>
        <v>0.23103516357362897</v>
      </c>
      <c r="AE42" s="301">
        <f t="shared" si="79"/>
        <v>0.23218315538676448</v>
      </c>
      <c r="AF42" s="301">
        <f t="shared" si="79"/>
        <v>0.23332377123607018</v>
      </c>
      <c r="AG42" s="301">
        <f t="shared" si="79"/>
        <v>0.23445696815027461</v>
      </c>
      <c r="AH42" s="301">
        <f t="shared" si="79"/>
        <v>0.23558270614100951</v>
      </c>
      <c r="AI42" s="301">
        <f t="shared" si="79"/>
        <v>0.23670094816528187</v>
      </c>
      <c r="AJ42" s="301">
        <f t="shared" ref="AJ42" si="80">1-AJ41</f>
        <v>0.23692806765590224</v>
      </c>
      <c r="AK42" s="301">
        <f t="shared" ref="AK42" si="81">1-AK41</f>
        <v>0.23714943331123284</v>
      </c>
      <c r="AL42" s="301">
        <f t="shared" ref="AL42" si="82">1-AL41</f>
        <v>0.23736505405412078</v>
      </c>
      <c r="AM42" s="301">
        <f t="shared" ref="AM42" si="83">1-AM41</f>
        <v>0.23757493936876284</v>
      </c>
      <c r="AN42" s="301">
        <f t="shared" ref="AN42" si="84">1-AN41</f>
        <v>0.23777909929302932</v>
      </c>
      <c r="AO42" s="301">
        <f t="shared" ref="AO42" si="85">1-AO41</f>
        <v>0.23797754441072971</v>
      </c>
      <c r="AP42" s="301">
        <f t="shared" ref="AP42" si="86">1-AP41</f>
        <v>0.23817028584382416</v>
      </c>
      <c r="AQ42" s="301">
        <f t="shared" ref="AQ42" si="87">1-AQ41</f>
        <v>0.2383573352445858</v>
      </c>
      <c r="AR42" s="301">
        <f t="shared" ref="AR42" si="88">1-AR41</f>
        <v>0.23853870478771688</v>
      </c>
      <c r="AS42" s="301">
        <f t="shared" ref="AS42" si="89">1-AS41</f>
        <v>0.23871440716242354</v>
      </c>
      <c r="AU42" s="41"/>
      <c r="AV42" s="38"/>
    </row>
    <row r="43" spans="1:48" s="43" customFormat="1" ht="23.25" customHeight="1" x14ac:dyDescent="0.3">
      <c r="A43" s="41"/>
      <c r="B43" s="300">
        <f t="shared" si="77"/>
        <v>11</v>
      </c>
      <c r="C43" s="608" t="s">
        <v>646</v>
      </c>
      <c r="D43" s="608"/>
      <c r="E43" s="608"/>
      <c r="F43" s="608"/>
      <c r="G43" s="608"/>
      <c r="I43" s="315" t="s">
        <v>121</v>
      </c>
      <c r="J43" s="302"/>
      <c r="K43" s="577">
        <f>1.111/1.163</f>
        <v>0.95528804815133272</v>
      </c>
      <c r="L43" s="302"/>
      <c r="M43" s="575">
        <f>$K$43</f>
        <v>0.95528804815133272</v>
      </c>
      <c r="N43" s="575">
        <f t="shared" ref="N43:AS43" si="90">$K$43</f>
        <v>0.95528804815133272</v>
      </c>
      <c r="O43" s="575">
        <f t="shared" si="90"/>
        <v>0.95528804815133272</v>
      </c>
      <c r="P43" s="575">
        <f t="shared" si="90"/>
        <v>0.95528804815133272</v>
      </c>
      <c r="Q43" s="575">
        <f t="shared" si="90"/>
        <v>0.95528804815133272</v>
      </c>
      <c r="R43" s="575">
        <f t="shared" si="90"/>
        <v>0.95528804815133272</v>
      </c>
      <c r="S43" s="575">
        <f t="shared" si="90"/>
        <v>0.95528804815133272</v>
      </c>
      <c r="T43" s="575">
        <f t="shared" si="90"/>
        <v>0.95528804815133272</v>
      </c>
      <c r="U43" s="575">
        <f t="shared" si="90"/>
        <v>0.95528804815133272</v>
      </c>
      <c r="V43" s="575">
        <f t="shared" si="90"/>
        <v>0.95528804815133272</v>
      </c>
      <c r="W43" s="575">
        <f t="shared" si="90"/>
        <v>0.95528804815133272</v>
      </c>
      <c r="X43" s="575">
        <f t="shared" si="90"/>
        <v>0.95528804815133272</v>
      </c>
      <c r="Y43" s="575">
        <f t="shared" si="90"/>
        <v>0.95528804815133272</v>
      </c>
      <c r="Z43" s="575">
        <f t="shared" si="90"/>
        <v>0.95528804815133272</v>
      </c>
      <c r="AA43" s="575">
        <f t="shared" si="90"/>
        <v>0.95528804815133272</v>
      </c>
      <c r="AB43" s="575">
        <f t="shared" si="90"/>
        <v>0.95528804815133272</v>
      </c>
      <c r="AC43" s="575">
        <f t="shared" si="90"/>
        <v>0.95528804815133272</v>
      </c>
      <c r="AD43" s="575">
        <f t="shared" si="90"/>
        <v>0.95528804815133272</v>
      </c>
      <c r="AE43" s="575">
        <f t="shared" si="90"/>
        <v>0.95528804815133272</v>
      </c>
      <c r="AF43" s="575">
        <f t="shared" si="90"/>
        <v>0.95528804815133272</v>
      </c>
      <c r="AG43" s="575">
        <f t="shared" si="90"/>
        <v>0.95528804815133272</v>
      </c>
      <c r="AH43" s="575">
        <f t="shared" si="90"/>
        <v>0.95528804815133272</v>
      </c>
      <c r="AI43" s="575">
        <f t="shared" si="90"/>
        <v>0.95528804815133272</v>
      </c>
      <c r="AJ43" s="575">
        <f t="shared" si="90"/>
        <v>0.95528804815133272</v>
      </c>
      <c r="AK43" s="575">
        <f t="shared" si="90"/>
        <v>0.95528804815133272</v>
      </c>
      <c r="AL43" s="575">
        <f t="shared" si="90"/>
        <v>0.95528804815133272</v>
      </c>
      <c r="AM43" s="575">
        <f t="shared" si="90"/>
        <v>0.95528804815133272</v>
      </c>
      <c r="AN43" s="575">
        <f t="shared" si="90"/>
        <v>0.95528804815133272</v>
      </c>
      <c r="AO43" s="575">
        <f t="shared" si="90"/>
        <v>0.95528804815133272</v>
      </c>
      <c r="AP43" s="575">
        <f t="shared" si="90"/>
        <v>0.95528804815133272</v>
      </c>
      <c r="AQ43" s="575">
        <f t="shared" si="90"/>
        <v>0.95528804815133272</v>
      </c>
      <c r="AR43" s="575">
        <f t="shared" si="90"/>
        <v>0.95528804815133272</v>
      </c>
      <c r="AS43" s="575">
        <f t="shared" si="90"/>
        <v>0.95528804815133272</v>
      </c>
      <c r="AU43" s="41"/>
      <c r="AV43" s="38"/>
    </row>
    <row r="44" spans="1:48" s="317" customFormat="1" ht="16.5" customHeight="1" x14ac:dyDescent="0.3">
      <c r="A44" s="337"/>
      <c r="B44" s="300">
        <f t="shared" si="77"/>
        <v>12</v>
      </c>
      <c r="C44" s="682" t="s">
        <v>647</v>
      </c>
      <c r="D44" s="682"/>
      <c r="E44" s="682"/>
      <c r="F44" s="682"/>
      <c r="G44" s="682"/>
      <c r="I44" s="313" t="s">
        <v>144</v>
      </c>
      <c r="J44" s="318"/>
      <c r="K44" s="318"/>
      <c r="L44" s="318"/>
      <c r="M44" s="576">
        <f>M38*M41+M40*M42*M43</f>
        <v>74.741349909206122</v>
      </c>
      <c r="N44" s="576">
        <f t="shared" ref="N44:AI44" si="91">N38*N41+N40*N42*N43</f>
        <v>144.46453959913683</v>
      </c>
      <c r="O44" s="576">
        <f t="shared" si="91"/>
        <v>179.37508901495815</v>
      </c>
      <c r="P44" s="576">
        <f t="shared" si="91"/>
        <v>200.83712874617635</v>
      </c>
      <c r="Q44" s="576">
        <f t="shared" si="91"/>
        <v>187.29865315470653</v>
      </c>
      <c r="R44" s="576">
        <f t="shared" si="91"/>
        <v>185.34695228166467</v>
      </c>
      <c r="S44" s="576">
        <f t="shared" si="91"/>
        <v>183.24493007490514</v>
      </c>
      <c r="T44" s="576">
        <f t="shared" si="91"/>
        <v>180.54883085394664</v>
      </c>
      <c r="U44" s="576">
        <f t="shared" si="91"/>
        <v>177.43624648533796</v>
      </c>
      <c r="V44" s="576">
        <f t="shared" si="91"/>
        <v>174.2728398790658</v>
      </c>
      <c r="W44" s="576">
        <f t="shared" si="91"/>
        <v>171.05867012473067</v>
      </c>
      <c r="X44" s="576">
        <f t="shared" si="91"/>
        <v>170.29436129890286</v>
      </c>
      <c r="Y44" s="576">
        <f t="shared" si="91"/>
        <v>169.54453171655032</v>
      </c>
      <c r="Z44" s="576">
        <f t="shared" si="91"/>
        <v>168.78761013045209</v>
      </c>
      <c r="AA44" s="576">
        <f t="shared" si="91"/>
        <v>168.02366553556251</v>
      </c>
      <c r="AB44" s="576">
        <f t="shared" si="91"/>
        <v>167.25276752587638</v>
      </c>
      <c r="AC44" s="576">
        <f t="shared" si="91"/>
        <v>167.19114801717637</v>
      </c>
      <c r="AD44" s="576">
        <f t="shared" si="91"/>
        <v>167.12991440758773</v>
      </c>
      <c r="AE44" s="576">
        <f t="shared" si="91"/>
        <v>167.06906929647027</v>
      </c>
      <c r="AF44" s="576">
        <f t="shared" si="91"/>
        <v>167.00861512136271</v>
      </c>
      <c r="AG44" s="576">
        <f t="shared" si="91"/>
        <v>166.9485541598003</v>
      </c>
      <c r="AH44" s="576">
        <f t="shared" si="91"/>
        <v>166.88888853122032</v>
      </c>
      <c r="AI44" s="576">
        <f t="shared" si="91"/>
        <v>166.82962019895126</v>
      </c>
      <c r="AJ44" s="576">
        <f t="shared" ref="AJ44" si="92">AJ38*AJ41+AJ40*AJ42*AJ43</f>
        <v>166.81758256028036</v>
      </c>
      <c r="AK44" s="576">
        <f t="shared" ref="AK44" si="93">AK38*AK41+AK40*AK42*AK43</f>
        <v>166.80584988262353</v>
      </c>
      <c r="AL44" s="576">
        <f t="shared" ref="AL44" si="94">AL38*AL41+AL40*AL42*AL43</f>
        <v>166.79442169305793</v>
      </c>
      <c r="AM44" s="576">
        <f t="shared" ref="AM44" si="95">AM38*AM41+AM40*AM42*AM43</f>
        <v>166.78329748890843</v>
      </c>
      <c r="AN44" s="576">
        <f t="shared" ref="AN44" si="96">AN38*AN41+AN40*AN42*AN43</f>
        <v>166.77247673815427</v>
      </c>
      <c r="AO44" s="576">
        <f t="shared" ref="AO44" si="97">AO38*AO41+AO40*AO42*AO43</f>
        <v>166.7619588798394</v>
      </c>
      <c r="AP44" s="576">
        <f t="shared" ref="AP44" si="98">AP38*AP41+AP40*AP42*AP43</f>
        <v>166.75174332448489</v>
      </c>
      <c r="AQ44" s="576">
        <f t="shared" ref="AQ44" si="99">AQ38*AQ41+AQ40*AQ42*AQ43</f>
        <v>166.74182945450468</v>
      </c>
      <c r="AR44" s="576">
        <f t="shared" ref="AR44" si="100">AR38*AR41+AR40*AR42*AR43</f>
        <v>166.73221662462311</v>
      </c>
      <c r="AS44" s="576">
        <f t="shared" ref="AS44" si="101">AS38*AS41+AS40*AS42*AS43</f>
        <v>166.72290416229515</v>
      </c>
      <c r="AU44" s="337"/>
      <c r="AV44" s="320"/>
    </row>
    <row r="45" spans="1:48" s="43" customFormat="1" ht="16.5" customHeight="1" x14ac:dyDescent="0.3">
      <c r="A45" s="41"/>
      <c r="B45" s="300"/>
      <c r="C45" s="306"/>
      <c r="D45" s="306"/>
      <c r="E45" s="306"/>
      <c r="F45" s="306"/>
      <c r="G45" s="306"/>
      <c r="I45" s="302"/>
      <c r="J45" s="302"/>
      <c r="K45" s="302"/>
      <c r="L45" s="302"/>
      <c r="M45" s="302"/>
      <c r="N45" s="302"/>
      <c r="O45" s="302"/>
      <c r="P45" s="302"/>
      <c r="AU45" s="41"/>
      <c r="AV45" s="38"/>
    </row>
    <row r="46" spans="1:48" s="43" customFormat="1" ht="16.5" customHeight="1" x14ac:dyDescent="0.3">
      <c r="A46" s="41"/>
      <c r="B46" s="300">
        <f>B44+1</f>
        <v>13</v>
      </c>
      <c r="C46" s="608" t="s">
        <v>648</v>
      </c>
      <c r="D46" s="608"/>
      <c r="E46" s="608"/>
      <c r="F46" s="608"/>
      <c r="G46" s="608"/>
      <c r="I46" s="315" t="s">
        <v>585</v>
      </c>
      <c r="J46" s="302"/>
      <c r="K46" s="302"/>
      <c r="L46" s="302"/>
      <c r="M46" s="359">
        <v>0</v>
      </c>
      <c r="N46" s="359">
        <v>0</v>
      </c>
      <c r="O46" s="359">
        <f>'1.Input'!O81*'1.Input'!O37</f>
        <v>346.5</v>
      </c>
      <c r="P46" s="359">
        <f>'1.Input'!P81*'1.Input'!P37</f>
        <v>370.55</v>
      </c>
      <c r="Q46" s="359">
        <f>'1.Input'!Q81*'1.Input'!Q37</f>
        <v>421.54859999999996</v>
      </c>
      <c r="R46" s="359">
        <f>'1.Input'!R81*'1.Input'!R37</f>
        <v>436.78720000000004</v>
      </c>
      <c r="S46" s="359">
        <f>'1.Input'!S81*'1.Input'!S37</f>
        <v>452.26580000000001</v>
      </c>
      <c r="T46" s="359">
        <f>'1.Input'!T81*'1.Input'!T37</f>
        <v>464.41200000000003</v>
      </c>
      <c r="U46" s="359">
        <f>'1.Input'!U81*'1.Input'!U37</f>
        <v>474.81200000000001</v>
      </c>
      <c r="V46" s="359">
        <f>'1.Input'!V81*'1.Input'!V37</f>
        <v>485.21200000000005</v>
      </c>
      <c r="W46" s="359">
        <f>'1.Input'!W81*'1.Input'!W37</f>
        <v>499.88800000000003</v>
      </c>
      <c r="X46" s="359">
        <f>'1.Input'!X81*'1.Input'!X37</f>
        <v>514.56399999999996</v>
      </c>
      <c r="Y46" s="359">
        <f>'1.Input'!Y81*'1.Input'!Y37</f>
        <v>529.24</v>
      </c>
      <c r="Z46" s="359">
        <f>'1.Input'!Z81*'1.Input'!Z37</f>
        <v>543.91599999999994</v>
      </c>
      <c r="AA46" s="359">
        <f>'1.Input'!AA81*'1.Input'!AA37</f>
        <v>558.59199999999998</v>
      </c>
      <c r="AB46" s="359">
        <f>'1.Input'!AB81*'1.Input'!AB37</f>
        <v>573.26799999999992</v>
      </c>
      <c r="AC46" s="359">
        <f>'1.Input'!AC81*'1.Input'!AC37</f>
        <v>587.94399999999996</v>
      </c>
      <c r="AD46" s="359">
        <f>'1.Input'!AD81*'1.Input'!AD37</f>
        <v>602.61999999999989</v>
      </c>
      <c r="AE46" s="359">
        <f>'1.Input'!AE81*'1.Input'!AE37</f>
        <v>617.29599999999982</v>
      </c>
      <c r="AF46" s="359">
        <f>'1.Input'!AF81*'1.Input'!AF37</f>
        <v>631.97199999999987</v>
      </c>
      <c r="AG46" s="359">
        <f>'1.Input'!AG81*'1.Input'!AG37</f>
        <v>646.6479999999998</v>
      </c>
      <c r="AH46" s="359">
        <f>'1.Input'!AH81*'1.Input'!AH37</f>
        <v>661.32399999999984</v>
      </c>
      <c r="AI46" s="359">
        <f>'1.Input'!AI81*'1.Input'!AI37</f>
        <v>676</v>
      </c>
      <c r="AJ46" s="359">
        <f>'1.Input'!AJ81*'1.Input'!AJ37</f>
        <v>676</v>
      </c>
      <c r="AK46" s="359">
        <f>'1.Input'!AK81*'1.Input'!AK37</f>
        <v>676</v>
      </c>
      <c r="AL46" s="359">
        <f>'1.Input'!AL81*'1.Input'!AL37</f>
        <v>676</v>
      </c>
      <c r="AM46" s="359">
        <f>'1.Input'!AM81*'1.Input'!AM37</f>
        <v>676</v>
      </c>
      <c r="AN46" s="359">
        <f>'1.Input'!AN81*'1.Input'!AN37</f>
        <v>676</v>
      </c>
      <c r="AO46" s="359">
        <f>'1.Input'!AO81*'1.Input'!AO37</f>
        <v>676</v>
      </c>
      <c r="AP46" s="359">
        <f>'1.Input'!AP81*'1.Input'!AP37</f>
        <v>676</v>
      </c>
      <c r="AQ46" s="359">
        <f>'1.Input'!AQ81*'1.Input'!AQ37</f>
        <v>676</v>
      </c>
      <c r="AR46" s="359">
        <f>'1.Input'!AR81*'1.Input'!AR37</f>
        <v>676</v>
      </c>
      <c r="AS46" s="359">
        <f>'1.Input'!AS81*'1.Input'!AS37</f>
        <v>676</v>
      </c>
      <c r="AU46" s="41"/>
      <c r="AV46" s="38"/>
    </row>
    <row r="47" spans="1:48" s="43" customFormat="1" ht="24" customHeight="1" x14ac:dyDescent="0.3">
      <c r="A47" s="41"/>
      <c r="B47" s="300">
        <f>B46+1</f>
        <v>14</v>
      </c>
      <c r="C47" s="608" t="s">
        <v>654</v>
      </c>
      <c r="D47" s="608"/>
      <c r="E47" s="608"/>
      <c r="F47" s="608"/>
      <c r="G47" s="608"/>
      <c r="I47" s="315" t="s">
        <v>650</v>
      </c>
      <c r="J47" s="302"/>
      <c r="K47" s="577">
        <v>0.22</v>
      </c>
      <c r="L47" s="302"/>
      <c r="M47" s="575">
        <f>$K$47</f>
        <v>0.22</v>
      </c>
      <c r="N47" s="575">
        <f t="shared" ref="N47:AS47" si="102">$K$47</f>
        <v>0.22</v>
      </c>
      <c r="O47" s="575">
        <f t="shared" si="102"/>
        <v>0.22</v>
      </c>
      <c r="P47" s="575">
        <f t="shared" si="102"/>
        <v>0.22</v>
      </c>
      <c r="Q47" s="575">
        <f t="shared" si="102"/>
        <v>0.22</v>
      </c>
      <c r="R47" s="575">
        <f t="shared" si="102"/>
        <v>0.22</v>
      </c>
      <c r="S47" s="575">
        <f t="shared" si="102"/>
        <v>0.22</v>
      </c>
      <c r="T47" s="575">
        <f t="shared" si="102"/>
        <v>0.22</v>
      </c>
      <c r="U47" s="575">
        <f t="shared" si="102"/>
        <v>0.22</v>
      </c>
      <c r="V47" s="575">
        <f t="shared" si="102"/>
        <v>0.22</v>
      </c>
      <c r="W47" s="575">
        <f t="shared" si="102"/>
        <v>0.22</v>
      </c>
      <c r="X47" s="575">
        <f t="shared" si="102"/>
        <v>0.22</v>
      </c>
      <c r="Y47" s="575">
        <f t="shared" si="102"/>
        <v>0.22</v>
      </c>
      <c r="Z47" s="575">
        <f t="shared" si="102"/>
        <v>0.22</v>
      </c>
      <c r="AA47" s="575">
        <f t="shared" si="102"/>
        <v>0.22</v>
      </c>
      <c r="AB47" s="575">
        <f t="shared" si="102"/>
        <v>0.22</v>
      </c>
      <c r="AC47" s="575">
        <f t="shared" si="102"/>
        <v>0.22</v>
      </c>
      <c r="AD47" s="575">
        <f t="shared" si="102"/>
        <v>0.22</v>
      </c>
      <c r="AE47" s="575">
        <f t="shared" si="102"/>
        <v>0.22</v>
      </c>
      <c r="AF47" s="575">
        <f t="shared" si="102"/>
        <v>0.22</v>
      </c>
      <c r="AG47" s="575">
        <f t="shared" si="102"/>
        <v>0.22</v>
      </c>
      <c r="AH47" s="575">
        <f t="shared" si="102"/>
        <v>0.22</v>
      </c>
      <c r="AI47" s="575">
        <f t="shared" si="102"/>
        <v>0.22</v>
      </c>
      <c r="AJ47" s="575">
        <f t="shared" si="102"/>
        <v>0.22</v>
      </c>
      <c r="AK47" s="575">
        <f t="shared" si="102"/>
        <v>0.22</v>
      </c>
      <c r="AL47" s="575">
        <f t="shared" si="102"/>
        <v>0.22</v>
      </c>
      <c r="AM47" s="575">
        <f t="shared" si="102"/>
        <v>0.22</v>
      </c>
      <c r="AN47" s="575">
        <f t="shared" si="102"/>
        <v>0.22</v>
      </c>
      <c r="AO47" s="575">
        <f t="shared" si="102"/>
        <v>0.22</v>
      </c>
      <c r="AP47" s="575">
        <f t="shared" si="102"/>
        <v>0.22</v>
      </c>
      <c r="AQ47" s="575">
        <f t="shared" si="102"/>
        <v>0.22</v>
      </c>
      <c r="AR47" s="575">
        <f t="shared" si="102"/>
        <v>0.22</v>
      </c>
      <c r="AS47" s="575">
        <f t="shared" si="102"/>
        <v>0.22</v>
      </c>
      <c r="AU47" s="41"/>
      <c r="AV47" s="38"/>
    </row>
    <row r="48" spans="1:48" s="317" customFormat="1" ht="16.5" customHeight="1" x14ac:dyDescent="0.3">
      <c r="A48" s="337"/>
      <c r="B48" s="338">
        <f>B47+1</f>
        <v>15</v>
      </c>
      <c r="C48" s="682" t="s">
        <v>649</v>
      </c>
      <c r="D48" s="682"/>
      <c r="E48" s="682"/>
      <c r="F48" s="682"/>
      <c r="G48" s="682"/>
      <c r="I48" s="313" t="s">
        <v>144</v>
      </c>
      <c r="J48" s="318"/>
      <c r="K48" s="318"/>
      <c r="L48" s="318"/>
      <c r="M48" s="365">
        <f>M47*M42*M43</f>
        <v>0</v>
      </c>
      <c r="N48" s="365">
        <f t="shared" ref="N48:AI48" si="103">N47*N42*N43</f>
        <v>0</v>
      </c>
      <c r="O48" s="576">
        <f t="shared" si="103"/>
        <v>0</v>
      </c>
      <c r="P48" s="576">
        <f t="shared" si="103"/>
        <v>3.8339483417772185E-2</v>
      </c>
      <c r="Q48" s="576">
        <f t="shared" si="103"/>
        <v>3.8910803371592598E-2</v>
      </c>
      <c r="R48" s="576">
        <f t="shared" si="103"/>
        <v>4.038984709519039E-2</v>
      </c>
      <c r="S48" s="576">
        <f t="shared" si="103"/>
        <v>4.2756332897908131E-2</v>
      </c>
      <c r="T48" s="576">
        <f t="shared" si="103"/>
        <v>4.5580379032820292E-2</v>
      </c>
      <c r="U48" s="576">
        <f t="shared" si="103"/>
        <v>4.595459649620031E-2</v>
      </c>
      <c r="V48" s="576">
        <f t="shared" si="103"/>
        <v>4.6328564266611867E-2</v>
      </c>
      <c r="W48" s="576">
        <f t="shared" si="103"/>
        <v>4.6702236317428161E-2</v>
      </c>
      <c r="X48" s="576">
        <f t="shared" si="103"/>
        <v>4.7075566976318629E-2</v>
      </c>
      <c r="Y48" s="576">
        <f t="shared" si="103"/>
        <v>4.7325908086086908E-2</v>
      </c>
      <c r="Z48" s="576">
        <f t="shared" si="103"/>
        <v>4.7574766786938442E-2</v>
      </c>
      <c r="AA48" s="576">
        <f t="shared" si="103"/>
        <v>4.7822130140649358E-2</v>
      </c>
      <c r="AB48" s="576">
        <f t="shared" si="103"/>
        <v>4.8067985875645244E-2</v>
      </c>
      <c r="AC48" s="576">
        <f t="shared" si="103"/>
        <v>4.8312322381365194E-2</v>
      </c>
      <c r="AD48" s="576">
        <f t="shared" si="103"/>
        <v>4.8555128702206699E-2</v>
      </c>
      <c r="AE48" s="576">
        <f t="shared" si="103"/>
        <v>4.8796394531068765E-2</v>
      </c>
      <c r="AF48" s="576">
        <f t="shared" si="103"/>
        <v>4.9036110202510981E-2</v>
      </c>
      <c r="AG48" s="576">
        <f t="shared" si="103"/>
        <v>4.9274266685546103E-2</v>
      </c>
      <c r="AH48" s="576">
        <f t="shared" si="103"/>
        <v>4.9510855576083874E-2</v>
      </c>
      <c r="AI48" s="576">
        <f t="shared" si="103"/>
        <v>4.974586908904402E-2</v>
      </c>
      <c r="AJ48" s="576">
        <f t="shared" ref="AJ48" si="104">AJ47*AJ42*AJ43</f>
        <v>4.9793601286720224E-2</v>
      </c>
      <c r="AK48" s="576">
        <f t="shared" ref="AK48" si="105">AK47*AK42*AK43</f>
        <v>4.9840124238978094E-2</v>
      </c>
      <c r="AL48" s="576">
        <f t="shared" ref="AL48" si="106">AL47*AL42*AL43</f>
        <v>4.9885439821073262E-2</v>
      </c>
      <c r="AM48" s="576">
        <f t="shared" ref="AM48" si="107">AM47*AM42*AM43</f>
        <v>4.9929550026236467E-2</v>
      </c>
      <c r="AN48" s="576">
        <f t="shared" ref="AN48" si="108">AN47*AN42*AN43</f>
        <v>4.9972456964060379E-2</v>
      </c>
      <c r="AO48" s="576">
        <f t="shared" ref="AO48" si="109">AO47*AO42*AO43</f>
        <v>5.0014162858874077E-2</v>
      </c>
      <c r="AP48" s="576">
        <f t="shared" ref="AP48" si="110">AP47*AP42*AP43</f>
        <v>5.0054670048106188E-2</v>
      </c>
      <c r="AQ48" s="576">
        <f t="shared" ref="AQ48" si="111">AQ47*AQ42*AQ43</f>
        <v>5.0093980980637713E-2</v>
      </c>
      <c r="AR48" s="576">
        <f t="shared" ref="AR48" si="112">AR47*AR42*AR43</f>
        <v>5.013209821514511E-2</v>
      </c>
      <c r="AS48" s="576">
        <f t="shared" ref="AS48" si="113">AS47*AS42*AS43</f>
        <v>5.0169024418434703E-2</v>
      </c>
      <c r="AU48" s="337"/>
      <c r="AV48" s="320"/>
    </row>
    <row r="49" spans="1:48" s="43" customFormat="1" ht="16.5" customHeight="1" x14ac:dyDescent="0.3">
      <c r="A49" s="41"/>
      <c r="B49" s="300"/>
      <c r="C49" s="306"/>
      <c r="D49" s="306"/>
      <c r="E49" s="306"/>
      <c r="F49" s="306"/>
      <c r="G49" s="306"/>
      <c r="I49" s="302"/>
      <c r="J49" s="302"/>
      <c r="K49" s="302"/>
      <c r="L49" s="302"/>
      <c r="M49" s="302"/>
      <c r="N49" s="302"/>
      <c r="O49" s="302"/>
      <c r="P49" s="302"/>
      <c r="AU49" s="41"/>
      <c r="AV49" s="38"/>
    </row>
    <row r="50" spans="1:48" s="43" customFormat="1" ht="16.5" customHeight="1" x14ac:dyDescent="0.3">
      <c r="A50" s="41"/>
      <c r="B50" s="300">
        <f>B48+1</f>
        <v>16</v>
      </c>
      <c r="C50" s="608" t="s">
        <v>652</v>
      </c>
      <c r="D50" s="608"/>
      <c r="E50" s="608"/>
      <c r="F50" s="608"/>
      <c r="G50" s="608"/>
      <c r="I50" s="315" t="s">
        <v>15</v>
      </c>
      <c r="J50" s="302"/>
      <c r="K50" s="302"/>
      <c r="L50" s="302"/>
      <c r="M50" s="581">
        <v>3.9399999999999998E-2</v>
      </c>
      <c r="N50" s="581">
        <v>0.15049999999999999</v>
      </c>
      <c r="O50" s="581">
        <v>9.2799999999999994E-2</v>
      </c>
      <c r="P50" s="573">
        <v>0</v>
      </c>
      <c r="Q50" s="573">
        <v>0</v>
      </c>
      <c r="R50" s="573">
        <v>0</v>
      </c>
      <c r="S50" s="573">
        <v>0</v>
      </c>
      <c r="T50" s="573">
        <v>0</v>
      </c>
      <c r="U50" s="573">
        <v>0</v>
      </c>
      <c r="V50" s="573">
        <v>0</v>
      </c>
      <c r="W50" s="573">
        <v>0</v>
      </c>
      <c r="X50" s="573">
        <v>0</v>
      </c>
      <c r="Y50" s="573">
        <v>0</v>
      </c>
      <c r="Z50" s="573">
        <v>0</v>
      </c>
      <c r="AA50" s="573">
        <v>0</v>
      </c>
      <c r="AB50" s="573">
        <v>0</v>
      </c>
      <c r="AC50" s="573">
        <v>0</v>
      </c>
      <c r="AD50" s="573">
        <v>0</v>
      </c>
      <c r="AE50" s="573">
        <v>0</v>
      </c>
      <c r="AF50" s="573">
        <v>0</v>
      </c>
      <c r="AG50" s="573">
        <v>0</v>
      </c>
      <c r="AH50" s="573">
        <v>0</v>
      </c>
      <c r="AI50" s="573">
        <v>0</v>
      </c>
      <c r="AJ50" s="573">
        <v>0</v>
      </c>
      <c r="AK50" s="573">
        <v>0</v>
      </c>
      <c r="AL50" s="573">
        <v>0</v>
      </c>
      <c r="AM50" s="573">
        <v>0</v>
      </c>
      <c r="AN50" s="573">
        <v>0</v>
      </c>
      <c r="AO50" s="573">
        <v>0</v>
      </c>
      <c r="AP50" s="573">
        <v>0</v>
      </c>
      <c r="AQ50" s="573">
        <v>0</v>
      </c>
      <c r="AR50" s="573">
        <v>0</v>
      </c>
      <c r="AS50" s="573">
        <v>0</v>
      </c>
      <c r="AU50" s="41"/>
      <c r="AV50" s="38"/>
    </row>
    <row r="51" spans="1:48" s="43" customFormat="1" ht="24.75" customHeight="1" x14ac:dyDescent="0.3">
      <c r="A51" s="41"/>
      <c r="B51" s="300">
        <f>B50+1</f>
        <v>17</v>
      </c>
      <c r="C51" s="608" t="s">
        <v>653</v>
      </c>
      <c r="D51" s="608"/>
      <c r="E51" s="608"/>
      <c r="F51" s="608"/>
      <c r="G51" s="608"/>
      <c r="I51" s="315" t="s">
        <v>15</v>
      </c>
      <c r="J51" s="302"/>
      <c r="K51" s="302"/>
      <c r="L51" s="302"/>
      <c r="M51" s="581">
        <v>4.4499999999999998E-2</v>
      </c>
      <c r="N51" s="581">
        <v>4.3979991085136949E-2</v>
      </c>
      <c r="O51" s="581">
        <f>10.54/240.84</f>
        <v>4.3763494436140173E-2</v>
      </c>
      <c r="P51" s="573">
        <f>AVERAGE(M51:O51)</f>
        <v>4.4081161840425709E-2</v>
      </c>
      <c r="Q51" s="579">
        <f>P51</f>
        <v>4.4081161840425709E-2</v>
      </c>
      <c r="R51" s="579">
        <f t="shared" ref="R51:AI51" si="114">Q51</f>
        <v>4.4081161840425709E-2</v>
      </c>
      <c r="S51" s="579">
        <f t="shared" si="114"/>
        <v>4.4081161840425709E-2</v>
      </c>
      <c r="T51" s="579">
        <f t="shared" si="114"/>
        <v>4.4081161840425709E-2</v>
      </c>
      <c r="U51" s="579">
        <f t="shared" si="114"/>
        <v>4.4081161840425709E-2</v>
      </c>
      <c r="V51" s="579">
        <f t="shared" si="114"/>
        <v>4.4081161840425709E-2</v>
      </c>
      <c r="W51" s="579">
        <f t="shared" si="114"/>
        <v>4.4081161840425709E-2</v>
      </c>
      <c r="X51" s="579">
        <f t="shared" si="114"/>
        <v>4.4081161840425709E-2</v>
      </c>
      <c r="Y51" s="579">
        <f t="shared" si="114"/>
        <v>4.4081161840425709E-2</v>
      </c>
      <c r="Z51" s="579">
        <f t="shared" si="114"/>
        <v>4.4081161840425709E-2</v>
      </c>
      <c r="AA51" s="579">
        <f t="shared" si="114"/>
        <v>4.4081161840425709E-2</v>
      </c>
      <c r="AB51" s="579">
        <f t="shared" si="114"/>
        <v>4.4081161840425709E-2</v>
      </c>
      <c r="AC51" s="579">
        <f t="shared" si="114"/>
        <v>4.4081161840425709E-2</v>
      </c>
      <c r="AD51" s="579">
        <f t="shared" si="114"/>
        <v>4.4081161840425709E-2</v>
      </c>
      <c r="AE51" s="579">
        <f t="shared" si="114"/>
        <v>4.4081161840425709E-2</v>
      </c>
      <c r="AF51" s="579">
        <f t="shared" si="114"/>
        <v>4.4081161840425709E-2</v>
      </c>
      <c r="AG51" s="579">
        <f t="shared" si="114"/>
        <v>4.4081161840425709E-2</v>
      </c>
      <c r="AH51" s="579">
        <f t="shared" si="114"/>
        <v>4.4081161840425709E-2</v>
      </c>
      <c r="AI51" s="579">
        <f t="shared" si="114"/>
        <v>4.4081161840425709E-2</v>
      </c>
      <c r="AJ51" s="579">
        <f t="shared" ref="AJ51:AS51" si="115">AI51</f>
        <v>4.4081161840425709E-2</v>
      </c>
      <c r="AK51" s="579">
        <f t="shared" si="115"/>
        <v>4.4081161840425709E-2</v>
      </c>
      <c r="AL51" s="579">
        <f t="shared" si="115"/>
        <v>4.4081161840425709E-2</v>
      </c>
      <c r="AM51" s="579">
        <f t="shared" si="115"/>
        <v>4.4081161840425709E-2</v>
      </c>
      <c r="AN51" s="579">
        <f t="shared" si="115"/>
        <v>4.4081161840425709E-2</v>
      </c>
      <c r="AO51" s="579">
        <f t="shared" si="115"/>
        <v>4.4081161840425709E-2</v>
      </c>
      <c r="AP51" s="579">
        <f t="shared" si="115"/>
        <v>4.4081161840425709E-2</v>
      </c>
      <c r="AQ51" s="579">
        <f t="shared" si="115"/>
        <v>4.4081161840425709E-2</v>
      </c>
      <c r="AR51" s="579">
        <f t="shared" si="115"/>
        <v>4.4081161840425709E-2</v>
      </c>
      <c r="AS51" s="579">
        <f t="shared" si="115"/>
        <v>4.4081161840425709E-2</v>
      </c>
      <c r="AU51" s="41"/>
      <c r="AV51" s="38"/>
    </row>
    <row r="52" spans="1:48" s="43" customFormat="1" ht="16.5" customHeight="1" x14ac:dyDescent="0.3">
      <c r="A52" s="41"/>
      <c r="B52" s="300"/>
      <c r="C52" s="306"/>
      <c r="D52" s="306"/>
      <c r="E52" s="306"/>
      <c r="F52" s="306"/>
      <c r="G52" s="306"/>
      <c r="I52" s="302"/>
      <c r="J52" s="302"/>
      <c r="K52" s="302"/>
      <c r="L52" s="302"/>
      <c r="M52" s="302"/>
      <c r="N52" s="302"/>
      <c r="O52" s="302"/>
      <c r="P52" s="302"/>
      <c r="AU52" s="41"/>
      <c r="AV52" s="38"/>
    </row>
    <row r="53" spans="1:48" s="317" customFormat="1" ht="28.5" customHeight="1" x14ac:dyDescent="0.3">
      <c r="A53" s="337"/>
      <c r="B53" s="338">
        <f>B51+1</f>
        <v>18</v>
      </c>
      <c r="C53" s="679" t="s">
        <v>651</v>
      </c>
      <c r="D53" s="680"/>
      <c r="E53" s="680"/>
      <c r="F53" s="680"/>
      <c r="G53" s="681"/>
      <c r="I53" s="313" t="s">
        <v>395</v>
      </c>
      <c r="J53" s="318"/>
      <c r="K53" s="318"/>
      <c r="L53" s="318"/>
      <c r="M53" s="576">
        <f>('1.Input'!$K$61*('5.O&amp;M'!M44+'5.O&amp;M'!M48+4.14*(1+M50))+24.67*(1+M50))*(1+M51)*'1.Input'!$K$61</f>
        <v>142.81943372020257</v>
      </c>
      <c r="N53" s="576">
        <f>('1.Input'!$K$61*('5.O&amp;M'!N44+'5.O&amp;M'!N48+4.14*(1+N50))+24.67*(1+N50))*(1+N51)*'1.Input'!$K$61</f>
        <v>245.17857123661193</v>
      </c>
      <c r="O53" s="576">
        <f>('1.Input'!$K$61*('5.O&amp;M'!O44+'5.O&amp;M'!O48+4.14*(1+O50))+24.67*(1+O50))*(1+O51)*'1.Input'!$K$61</f>
        <v>292.34794773558207</v>
      </c>
      <c r="P53" s="576">
        <f>('1.Input'!$K$61*('5.O&amp;M'!P44+'5.O&amp;M'!P48+4.14*(1+P50))+24.67*(1+P50))*(1+P51)*'1.Input'!$K$61</f>
        <v>319.47711764141724</v>
      </c>
      <c r="Q53" s="576">
        <f>('1.Input'!$K$61*('5.O&amp;M'!Q44+'5.O&amp;M'!Q48+4.14*(1+Q50))+24.67*(1+Q50))*(1+Q51)*'1.Input'!$K$61</f>
        <v>300.35900006414874</v>
      </c>
      <c r="R53" s="576">
        <f>('1.Input'!$K$61*('5.O&amp;M'!R44+'5.O&amp;M'!R48+4.14*(1+R50))+24.67*(1+R50))*(1+R51)*'1.Input'!$K$61</f>
        <v>297.60491276327247</v>
      </c>
      <c r="S53" s="576">
        <f>('1.Input'!$K$61*('5.O&amp;M'!S44+'5.O&amp;M'!S48+4.14*(1+S50))+24.67*(1+S50))*(1+S51)*'1.Input'!$K$61</f>
        <v>294.63979614404104</v>
      </c>
      <c r="T53" s="576">
        <f>('1.Input'!$K$61*('5.O&amp;M'!T44+'5.O&amp;M'!T48+4.14*(1+T50))+24.67*(1+T50))*(1+T51)*'1.Input'!$K$61</f>
        <v>290.83637499202769</v>
      </c>
      <c r="U53" s="576">
        <f>('1.Input'!$K$61*('5.O&amp;M'!U44+'5.O&amp;M'!U48+4.14*(1+U50))+24.67*(1+U50))*(1+U51)*'1.Input'!$K$61</f>
        <v>286.44133729627799</v>
      </c>
      <c r="V53" s="576">
        <f>('1.Input'!$K$61*('5.O&amp;M'!V44+'5.O&amp;M'!V48+4.14*(1+V50))+24.67*(1+V50))*(1+V51)*'1.Input'!$K$61</f>
        <v>281.97452849996773</v>
      </c>
      <c r="W53" s="576">
        <f>('1.Input'!$K$61*('5.O&amp;M'!W44+'5.O&amp;M'!W48+4.14*(1+W50))+24.67*(1+W50))*(1+W51)*'1.Input'!$K$61</f>
        <v>277.43603198394862</v>
      </c>
      <c r="X53" s="576">
        <f>('1.Input'!$K$61*('5.O&amp;M'!X44+'5.O&amp;M'!X48+4.14*(1+X50))+24.67*(1+X50))*(1+X51)*'1.Input'!$K$61</f>
        <v>276.35720853201911</v>
      </c>
      <c r="Y53" s="576">
        <f>('1.Input'!$K$61*('5.O&amp;M'!Y44+'5.O&amp;M'!Y48+4.14*(1+Y50))+24.67*(1+Y50))*(1+Y51)*'1.Input'!$K$61</f>
        <v>275.29865886434931</v>
      </c>
      <c r="Z53" s="576">
        <f>('1.Input'!$K$61*('5.O&amp;M'!Z44+'5.O&amp;M'!Z48+4.14*(1+Z50))+24.67*(1+Z50))*(1+Z51)*'1.Input'!$K$61</f>
        <v>274.23009183360637</v>
      </c>
      <c r="AA53" s="576">
        <f>('1.Input'!$K$61*('5.O&amp;M'!AA44+'5.O&amp;M'!AA48+4.14*(1+AA50))+24.67*(1+AA50))*(1+AA51)*'1.Input'!$K$61</f>
        <v>273.15160485562882</v>
      </c>
      <c r="AB53" s="576">
        <f>('1.Input'!$K$61*('5.O&amp;M'!AB44+'5.O&amp;M'!AB48+4.14*(1+AB50))+24.67*(1+AB50))*(1+AB51)*'1.Input'!$K$61</f>
        <v>272.06329619315642</v>
      </c>
      <c r="AC53" s="576">
        <f>('1.Input'!$K$61*('5.O&amp;M'!AC44+'5.O&amp;M'!AC48+4.14*(1+AC50))+24.67*(1+AC50))*(1+AC51)*'1.Input'!$K$61</f>
        <v>271.97662267746284</v>
      </c>
      <c r="AD53" s="576">
        <f>('1.Input'!$K$61*('5.O&amp;M'!AD44+'5.O&amp;M'!AD48+4.14*(1+AD50))+24.67*(1+AD50))*(1+AD51)*'1.Input'!$K$61</f>
        <v>271.89049196442045</v>
      </c>
      <c r="AE53" s="576">
        <f>('1.Input'!$K$61*('5.O&amp;M'!AE44+'5.O&amp;M'!AE48+4.14*(1+AE50))+24.67*(1+AE50))*(1+AE51)*'1.Input'!$K$61</f>
        <v>271.8049077102682</v>
      </c>
      <c r="AF53" s="576">
        <f>('1.Input'!$K$61*('5.O&amp;M'!AF44+'5.O&amp;M'!AF48+4.14*(1+AF50))+24.67*(1+AF50))*(1+AF51)*'1.Input'!$K$61</f>
        <v>271.71987334362893</v>
      </c>
      <c r="AG53" s="576">
        <f>('1.Input'!$K$61*('5.O&amp;M'!AG44+'5.O&amp;M'!AG48+4.14*(1+AG50))+24.67*(1+AG50))*(1+AG51)*'1.Input'!$K$61</f>
        <v>271.63539206806581</v>
      </c>
      <c r="AH53" s="576">
        <f>('1.Input'!$K$61*('5.O&amp;M'!AH44+'5.O&amp;M'!AH48+4.14*(1+AH50))+24.67*(1+AH50))*(1+AH51)*'1.Input'!$K$61</f>
        <v>271.55146686476246</v>
      </c>
      <c r="AI53" s="576">
        <f>('1.Input'!$K$61*('5.O&amp;M'!AI44+'5.O&amp;M'!AI48+4.14*(1+AI50))+24.67*(1+AI50))*(1+AI51)*'1.Input'!$K$61</f>
        <v>271.46810049532155</v>
      </c>
      <c r="AJ53" s="576">
        <f>('1.Input'!$K$61*('5.O&amp;M'!AJ44+'5.O&amp;M'!AJ48+4.14*(1+AJ50))+24.67*(1+AJ50))*(1+AJ51)*'1.Input'!$K$61</f>
        <v>271.45116844756154</v>
      </c>
      <c r="AK53" s="576">
        <f>('1.Input'!$K$61*('5.O&amp;M'!AK44+'5.O&amp;M'!AK48+4.14*(1+AK50))+24.67*(1+AK50))*(1+AK51)*'1.Input'!$K$61</f>
        <v>271.43466535556252</v>
      </c>
      <c r="AL53" s="576">
        <f>('1.Input'!$K$61*('5.O&amp;M'!AL44+'5.O&amp;M'!AL48+4.14*(1+AL50))+24.67*(1+AL50))*(1+AL51)*'1.Input'!$K$61</f>
        <v>271.41859055411464</v>
      </c>
      <c r="AM53" s="576">
        <f>('1.Input'!$K$61*('5.O&amp;M'!AM44+'5.O&amp;M'!AM48+4.14*(1+AM50))+24.67*(1+AM50))*(1+AM51)*'1.Input'!$K$61</f>
        <v>271.4029433361593</v>
      </c>
      <c r="AN53" s="576">
        <f>('1.Input'!$K$61*('5.O&amp;M'!AN44+'5.O&amp;M'!AN48+4.14*(1+AN50))+24.67*(1+AN50))*(1+AN51)*'1.Input'!$K$61</f>
        <v>271.38772295336025</v>
      </c>
      <c r="AO53" s="576">
        <f>('1.Input'!$K$61*('5.O&amp;M'!AO44+'5.O&amp;M'!AO48+4.14*(1+AO50))+24.67*(1+AO50))*(1+AO51)*'1.Input'!$K$61</f>
        <v>271.37292861668101</v>
      </c>
      <c r="AP53" s="576">
        <f>('1.Input'!$K$61*('5.O&amp;M'!AP44+'5.O&amp;M'!AP48+4.14*(1+AP50))+24.67*(1+AP50))*(1+AP51)*'1.Input'!$K$61</f>
        <v>271.3585594969652</v>
      </c>
      <c r="AQ53" s="576">
        <f>('1.Input'!$K$61*('5.O&amp;M'!AQ44+'5.O&amp;M'!AQ48+4.14*(1+AQ50))+24.67*(1+AQ50))*(1+AQ51)*'1.Input'!$K$61</f>
        <v>271.34461472552118</v>
      </c>
      <c r="AR53" s="576">
        <f>('1.Input'!$K$61*('5.O&amp;M'!AR44+'5.O&amp;M'!AR48+4.14*(1+AR50))+24.67*(1+AR50))*(1+AR51)*'1.Input'!$K$61</f>
        <v>271.33109339470928</v>
      </c>
      <c r="AS53" s="576">
        <f>('1.Input'!$K$61*('5.O&amp;M'!AS44+'5.O&amp;M'!AS48+4.14*(1+AS50))+24.67*(1+AS50))*(1+AS51)*'1.Input'!$K$61</f>
        <v>271.31799455853292</v>
      </c>
      <c r="AU53" s="337"/>
      <c r="AV53" s="320"/>
    </row>
    <row r="54" spans="1:48" s="317" customFormat="1" ht="28.5" customHeight="1" x14ac:dyDescent="0.3">
      <c r="A54" s="337"/>
      <c r="B54" s="338">
        <f>B53+1</f>
        <v>19</v>
      </c>
      <c r="C54" s="679" t="s">
        <v>657</v>
      </c>
      <c r="D54" s="680"/>
      <c r="E54" s="680"/>
      <c r="F54" s="680"/>
      <c r="G54" s="681"/>
      <c r="I54" s="313" t="s">
        <v>175</v>
      </c>
      <c r="J54" s="318"/>
      <c r="K54" s="318"/>
      <c r="L54" s="318"/>
      <c r="M54" s="576">
        <f>'6.Venituri'!M26</f>
        <v>160081</v>
      </c>
      <c r="N54" s="576">
        <f>'6.Venituri'!N26</f>
        <v>149844</v>
      </c>
      <c r="O54" s="576">
        <f>'6.Venituri'!O26</f>
        <v>147588.92251894993</v>
      </c>
      <c r="P54" s="576">
        <f>'6.Venituri'!P26</f>
        <v>145398.00744123664</v>
      </c>
      <c r="Q54" s="576">
        <f>'6.Venituri'!Q26</f>
        <v>143269.32639982333</v>
      </c>
      <c r="R54" s="576">
        <f>'6.Venituri'!R26</f>
        <v>137247.68833166023</v>
      </c>
      <c r="S54" s="576">
        <f>'6.Venituri'!S26</f>
        <v>128381.81243931894</v>
      </c>
      <c r="T54" s="576">
        <f>'6.Venituri'!T26</f>
        <v>119177.49481621411</v>
      </c>
      <c r="U54" s="576">
        <f>'6.Venituri'!U26</f>
        <v>118210.43078427078</v>
      </c>
      <c r="V54" s="576">
        <f>'6.Venituri'!V26</f>
        <v>117259.61923980003</v>
      </c>
      <c r="W54" s="576">
        <f>'6.Venituri'!W26</f>
        <v>116324.76873541719</v>
      </c>
      <c r="X54" s="576">
        <f>'6.Venituri'!X26</f>
        <v>115405.59312942534</v>
      </c>
      <c r="Y54" s="576">
        <f>'6.Venituri'!Y26</f>
        <v>114797.35207887919</v>
      </c>
      <c r="Z54" s="576">
        <f>'6.Venituri'!Z26</f>
        <v>114199.05721398874</v>
      </c>
      <c r="AA54" s="576">
        <f>'6.Venituri'!AA26</f>
        <v>113610.5282447114</v>
      </c>
      <c r="AB54" s="576">
        <f>'6.Venituri'!AB26</f>
        <v>113031.58822544443</v>
      </c>
      <c r="AC54" s="576">
        <f>'6.Venituri'!AC26</f>
        <v>112462.06349268593</v>
      </c>
      <c r="AD54" s="576">
        <f>'6.Venituri'!AD26</f>
        <v>111901.78360385916</v>
      </c>
      <c r="AE54" s="576">
        <f>'6.Venituri'!AE26</f>
        <v>111350.58127727808</v>
      </c>
      <c r="AF54" s="576">
        <f>'6.Venituri'!AF26</f>
        <v>110808.29233323313</v>
      </c>
      <c r="AG54" s="576">
        <f>'6.Venituri'!AG26</f>
        <v>110274.75563617612</v>
      </c>
      <c r="AH54" s="576">
        <f>'6.Venituri'!AH26</f>
        <v>109749.81303798396</v>
      </c>
      <c r="AI54" s="576">
        <f>'6.Venituri'!AI26</f>
        <v>109233.30932228061</v>
      </c>
      <c r="AJ54" s="576">
        <f>'6.Venituri'!AJ26</f>
        <v>109129.00100480622</v>
      </c>
      <c r="AK54" s="576">
        <f>'6.Venituri'!AK26</f>
        <v>109027.5274949351</v>
      </c>
      <c r="AL54" s="576">
        <f>'6.Venituri'!AL26</f>
        <v>108928.86940321341</v>
      </c>
      <c r="AM54" s="576">
        <f>'6.Venituri'!AM26</f>
        <v>108833.00757887488</v>
      </c>
      <c r="AN54" s="576">
        <f>'6.Venituri'!AN26</f>
        <v>108739.92310767798</v>
      </c>
      <c r="AO54" s="576">
        <f>'6.Venituri'!AO26</f>
        <v>108649.59730976584</v>
      </c>
      <c r="AP54" s="576">
        <f>'6.Venituri'!AP26</f>
        <v>108562.01173754844</v>
      </c>
      <c r="AQ54" s="576">
        <f>'6.Venituri'!AQ26</f>
        <v>108477.14817360742</v>
      </c>
      <c r="AR54" s="576">
        <f>'6.Venituri'!AR26</f>
        <v>108394.98862862278</v>
      </c>
      <c r="AS54" s="576">
        <f>'6.Venituri'!AS26</f>
        <v>108315.51533932157</v>
      </c>
      <c r="AU54" s="337"/>
      <c r="AV54" s="320"/>
    </row>
    <row r="55" spans="1:48" s="43" customFormat="1" ht="16.5" customHeight="1" x14ac:dyDescent="0.3">
      <c r="A55" s="41"/>
      <c r="B55" s="300"/>
      <c r="C55" s="306"/>
      <c r="D55" s="306"/>
      <c r="E55" s="306"/>
      <c r="F55" s="306"/>
      <c r="G55" s="306"/>
      <c r="I55" s="302"/>
      <c r="J55" s="302"/>
      <c r="K55" s="302"/>
      <c r="L55" s="302"/>
      <c r="M55" s="578"/>
      <c r="N55" s="302"/>
      <c r="O55" s="302"/>
      <c r="P55" s="302"/>
      <c r="AU55" s="41"/>
      <c r="AV55" s="38"/>
    </row>
    <row r="56" spans="1:48" s="43" customFormat="1" ht="16.5" customHeight="1" x14ac:dyDescent="0.3">
      <c r="A56" s="41"/>
      <c r="B56" s="338">
        <f>B54+1</f>
        <v>20</v>
      </c>
      <c r="C56" s="679" t="s">
        <v>364</v>
      </c>
      <c r="D56" s="680"/>
      <c r="E56" s="680"/>
      <c r="F56" s="680"/>
      <c r="G56" s="681"/>
      <c r="H56" s="317"/>
      <c r="I56" s="313" t="s">
        <v>407</v>
      </c>
      <c r="J56" s="302"/>
      <c r="K56" s="302"/>
      <c r="L56" s="302"/>
      <c r="M56" s="321">
        <f>M53*M54/1000</f>
        <v>22862.677769363745</v>
      </c>
      <c r="N56" s="321">
        <f t="shared" ref="N56:AI56" si="116">N53*N54/1000</f>
        <v>36738.537828378881</v>
      </c>
      <c r="O56" s="321">
        <f t="shared" si="116"/>
        <v>43147.318606920846</v>
      </c>
      <c r="P56" s="321">
        <f t="shared" si="116"/>
        <v>46451.33632813162</v>
      </c>
      <c r="Q56" s="321">
        <f t="shared" si="116"/>
        <v>43032.231617315083</v>
      </c>
      <c r="R56" s="321">
        <f t="shared" si="116"/>
        <v>40845.586312904554</v>
      </c>
      <c r="S56" s="321">
        <f t="shared" si="116"/>
        <v>37826.391045723445</v>
      </c>
      <c r="T56" s="321">
        <f t="shared" si="116"/>
        <v>34661.150572978884</v>
      </c>
      <c r="U56" s="321">
        <f t="shared" si="116"/>
        <v>33860.353876215631</v>
      </c>
      <c r="V56" s="321">
        <f t="shared" si="116"/>
        <v>33064.225847228357</v>
      </c>
      <c r="W56" s="321">
        <f t="shared" si="116"/>
        <v>32272.682259404632</v>
      </c>
      <c r="X56" s="321">
        <f t="shared" si="116"/>
        <v>31893.167566229949</v>
      </c>
      <c r="Y56" s="321">
        <f t="shared" si="116"/>
        <v>31603.557068493963</v>
      </c>
      <c r="Z56" s="321">
        <f t="shared" si="116"/>
        <v>31316.817947103398</v>
      </c>
      <c r="AA56" s="321">
        <f t="shared" si="116"/>
        <v>31032.898118538666</v>
      </c>
      <c r="AB56" s="321">
        <f t="shared" si="116"/>
        <v>30751.746466561981</v>
      </c>
      <c r="AC56" s="321">
        <f t="shared" si="116"/>
        <v>30587.052208079112</v>
      </c>
      <c r="AD56" s="321">
        <f t="shared" si="116"/>
        <v>30425.030995749385</v>
      </c>
      <c r="AE56" s="321">
        <f t="shared" si="116"/>
        <v>30265.634467555283</v>
      </c>
      <c r="AF56" s="321">
        <f t="shared" si="116"/>
        <v>30108.815158209913</v>
      </c>
      <c r="AG56" s="321">
        <f t="shared" si="116"/>
        <v>29954.526482442852</v>
      </c>
      <c r="AH56" s="321">
        <f t="shared" si="116"/>
        <v>29802.722718597975</v>
      </c>
      <c r="AI56" s="321">
        <f t="shared" si="116"/>
        <v>29653.358992537418</v>
      </c>
      <c r="AJ56" s="321">
        <f t="shared" ref="AJ56:AS56" si="117">AJ53*AJ54/1000</f>
        <v>29623.194834269765</v>
      </c>
      <c r="AK56" s="321">
        <f t="shared" si="117"/>
        <v>29593.850440132101</v>
      </c>
      <c r="AL56" s="321">
        <f t="shared" si="117"/>
        <v>29565.320204073407</v>
      </c>
      <c r="AM56" s="321">
        <f t="shared" si="117"/>
        <v>29537.598589033176</v>
      </c>
      <c r="AN56" s="321">
        <f t="shared" si="117"/>
        <v>29510.680126316209</v>
      </c>
      <c r="AO56" s="321">
        <f t="shared" si="117"/>
        <v>29484.559414974225</v>
      </c>
      <c r="AP56" s="321">
        <f t="shared" si="117"/>
        <v>29459.231121193774</v>
      </c>
      <c r="AQ56" s="321">
        <f t="shared" si="117"/>
        <v>29434.689977690778</v>
      </c>
      <c r="AR56" s="321">
        <f t="shared" si="117"/>
        <v>29410.9307831113</v>
      </c>
      <c r="AS56" s="321">
        <f t="shared" si="117"/>
        <v>29387.948401438738</v>
      </c>
      <c r="AU56" s="41"/>
      <c r="AV56" s="38"/>
    </row>
    <row r="57" spans="1:48" s="43" customFormat="1" ht="16.5" customHeight="1" thickBot="1" x14ac:dyDescent="0.35">
      <c r="A57" s="41"/>
      <c r="B57" s="300"/>
      <c r="C57" s="306"/>
      <c r="D57" s="306"/>
      <c r="E57" s="306"/>
      <c r="F57" s="306"/>
      <c r="G57" s="306"/>
      <c r="I57" s="302"/>
      <c r="J57" s="302"/>
      <c r="K57" s="302"/>
      <c r="L57" s="302"/>
      <c r="M57" s="302"/>
      <c r="N57" s="302"/>
      <c r="O57" s="302"/>
      <c r="P57" s="302"/>
      <c r="AU57" s="41"/>
      <c r="AV57" s="38"/>
    </row>
    <row r="58" spans="1:48" s="43" customFormat="1" ht="28.5" customHeight="1" thickBot="1" x14ac:dyDescent="0.35">
      <c r="A58" s="41"/>
      <c r="B58" s="296"/>
      <c r="C58" s="684" t="s">
        <v>581</v>
      </c>
      <c r="D58" s="685"/>
      <c r="E58" s="685"/>
      <c r="F58" s="685"/>
      <c r="G58" s="686"/>
      <c r="AU58" s="41"/>
      <c r="AV58" s="38"/>
    </row>
    <row r="59" spans="1:48" s="43" customFormat="1" x14ac:dyDescent="0.3">
      <c r="A59" s="41"/>
      <c r="B59" s="300">
        <f>B31+1</f>
        <v>22</v>
      </c>
      <c r="C59" s="605" t="s">
        <v>61</v>
      </c>
      <c r="D59" s="606"/>
      <c r="E59" s="606"/>
      <c r="F59" s="606"/>
      <c r="G59" s="607"/>
      <c r="I59" s="315" t="s">
        <v>59</v>
      </c>
      <c r="M59" s="316">
        <f>M60*M61</f>
        <v>6694656</v>
      </c>
      <c r="N59" s="316">
        <f t="shared" ref="N59:AH59" si="118">N60*N61</f>
        <v>7752565.9199999999</v>
      </c>
      <c r="O59" s="316">
        <f t="shared" si="118"/>
        <v>10164278</v>
      </c>
      <c r="P59" s="316">
        <f t="shared" si="118"/>
        <v>10479370.617999999</v>
      </c>
      <c r="Q59" s="316">
        <f t="shared" si="118"/>
        <v>10877586.701483998</v>
      </c>
      <c r="R59" s="316">
        <f t="shared" si="118"/>
        <v>11323567.756244842</v>
      </c>
      <c r="S59" s="316">
        <f t="shared" si="118"/>
        <v>11742539.7632259</v>
      </c>
      <c r="T59" s="316">
        <f t="shared" si="118"/>
        <v>12153528.654938806</v>
      </c>
      <c r="U59" s="316">
        <f t="shared" si="118"/>
        <v>12518134.51458697</v>
      </c>
      <c r="V59" s="316">
        <f t="shared" si="118"/>
        <v>12893678.55002458</v>
      </c>
      <c r="W59" s="316">
        <f t="shared" si="118"/>
        <v>13280488.906525319</v>
      </c>
      <c r="X59" s="316">
        <f t="shared" si="118"/>
        <v>13678903.573721079</v>
      </c>
      <c r="Y59" s="316">
        <f t="shared" si="118"/>
        <v>14089270.680932712</v>
      </c>
      <c r="Z59" s="316">
        <f t="shared" si="118"/>
        <v>14511948.801360693</v>
      </c>
      <c r="AA59" s="316">
        <f t="shared" si="118"/>
        <v>14947307.265401512</v>
      </c>
      <c r="AB59" s="316">
        <f t="shared" si="118"/>
        <v>15395726.483363558</v>
      </c>
      <c r="AC59" s="316">
        <f t="shared" si="118"/>
        <v>15857598.277864467</v>
      </c>
      <c r="AD59" s="316">
        <f t="shared" si="118"/>
        <v>16333326.2262004</v>
      </c>
      <c r="AE59" s="316">
        <f t="shared" si="118"/>
        <v>16823326.01298641</v>
      </c>
      <c r="AF59" s="316">
        <f t="shared" si="118"/>
        <v>17328025.793376002</v>
      </c>
      <c r="AG59" s="316">
        <f t="shared" si="118"/>
        <v>17847866.567177285</v>
      </c>
      <c r="AH59" s="316">
        <f t="shared" si="118"/>
        <v>18383302.564192601</v>
      </c>
      <c r="AI59" s="316">
        <f t="shared" ref="AI59:AS59" si="119">AI60*AI61</f>
        <v>18934801.641118381</v>
      </c>
      <c r="AJ59" s="316">
        <f t="shared" si="119"/>
        <v>19502845.69035193</v>
      </c>
      <c r="AK59" s="316">
        <f t="shared" si="119"/>
        <v>20087931.061062492</v>
      </c>
      <c r="AL59" s="316">
        <f t="shared" si="119"/>
        <v>20690568.992894366</v>
      </c>
      <c r="AM59" s="316">
        <f t="shared" si="119"/>
        <v>21311286.062681194</v>
      </c>
      <c r="AN59" s="316">
        <f t="shared" si="119"/>
        <v>21950624.644561633</v>
      </c>
      <c r="AO59" s="316">
        <f t="shared" si="119"/>
        <v>22609143.383898482</v>
      </c>
      <c r="AP59" s="316">
        <f t="shared" si="119"/>
        <v>23287417.685415436</v>
      </c>
      <c r="AQ59" s="316">
        <f t="shared" si="119"/>
        <v>23986040.2159779</v>
      </c>
      <c r="AR59" s="316">
        <f t="shared" si="119"/>
        <v>24705621.422457237</v>
      </c>
      <c r="AS59" s="316">
        <f t="shared" si="119"/>
        <v>25446790.065130956</v>
      </c>
      <c r="AU59" s="41"/>
      <c r="AV59" s="38"/>
    </row>
    <row r="60" spans="1:48" s="43" customFormat="1" outlineLevel="1" x14ac:dyDescent="0.3">
      <c r="A60" s="41"/>
      <c r="B60" s="300"/>
      <c r="C60" s="688" t="s">
        <v>365</v>
      </c>
      <c r="D60" s="689"/>
      <c r="E60" s="689"/>
      <c r="F60" s="689"/>
      <c r="G60" s="690"/>
      <c r="I60" s="315" t="s">
        <v>367</v>
      </c>
      <c r="M60" s="324">
        <v>92</v>
      </c>
      <c r="N60" s="324">
        <v>96</v>
      </c>
      <c r="O60" s="324">
        <v>95</v>
      </c>
      <c r="P60" s="316">
        <f>O60</f>
        <v>95</v>
      </c>
      <c r="Q60" s="316">
        <f t="shared" ref="Q60:AI60" si="120">P60</f>
        <v>95</v>
      </c>
      <c r="R60" s="316">
        <f t="shared" si="120"/>
        <v>95</v>
      </c>
      <c r="S60" s="316">
        <f t="shared" si="120"/>
        <v>95</v>
      </c>
      <c r="T60" s="316">
        <f t="shared" si="120"/>
        <v>95</v>
      </c>
      <c r="U60" s="316">
        <f t="shared" si="120"/>
        <v>95</v>
      </c>
      <c r="V60" s="316">
        <f t="shared" si="120"/>
        <v>95</v>
      </c>
      <c r="W60" s="316">
        <f t="shared" si="120"/>
        <v>95</v>
      </c>
      <c r="X60" s="316">
        <f t="shared" si="120"/>
        <v>95</v>
      </c>
      <c r="Y60" s="316">
        <f t="shared" si="120"/>
        <v>95</v>
      </c>
      <c r="Z60" s="316">
        <f t="shared" si="120"/>
        <v>95</v>
      </c>
      <c r="AA60" s="316">
        <f t="shared" si="120"/>
        <v>95</v>
      </c>
      <c r="AB60" s="316">
        <f t="shared" si="120"/>
        <v>95</v>
      </c>
      <c r="AC60" s="316">
        <f t="shared" si="120"/>
        <v>95</v>
      </c>
      <c r="AD60" s="316">
        <f t="shared" si="120"/>
        <v>95</v>
      </c>
      <c r="AE60" s="316">
        <f t="shared" si="120"/>
        <v>95</v>
      </c>
      <c r="AF60" s="316">
        <f t="shared" si="120"/>
        <v>95</v>
      </c>
      <c r="AG60" s="316">
        <f t="shared" si="120"/>
        <v>95</v>
      </c>
      <c r="AH60" s="316">
        <f t="shared" si="120"/>
        <v>95</v>
      </c>
      <c r="AI60" s="316">
        <f t="shared" si="120"/>
        <v>95</v>
      </c>
      <c r="AJ60" s="316">
        <f t="shared" ref="AJ60:AS60" si="121">AI60</f>
        <v>95</v>
      </c>
      <c r="AK60" s="316">
        <f t="shared" si="121"/>
        <v>95</v>
      </c>
      <c r="AL60" s="316">
        <f t="shared" si="121"/>
        <v>95</v>
      </c>
      <c r="AM60" s="316">
        <f t="shared" si="121"/>
        <v>95</v>
      </c>
      <c r="AN60" s="316">
        <f t="shared" si="121"/>
        <v>95</v>
      </c>
      <c r="AO60" s="316">
        <f t="shared" si="121"/>
        <v>95</v>
      </c>
      <c r="AP60" s="316">
        <f t="shared" si="121"/>
        <v>95</v>
      </c>
      <c r="AQ60" s="316">
        <f t="shared" si="121"/>
        <v>95</v>
      </c>
      <c r="AR60" s="316">
        <f t="shared" si="121"/>
        <v>95</v>
      </c>
      <c r="AS60" s="316">
        <f t="shared" si="121"/>
        <v>95</v>
      </c>
      <c r="AU60" s="41"/>
      <c r="AV60" s="38"/>
    </row>
    <row r="61" spans="1:48" s="43" customFormat="1" outlineLevel="1" x14ac:dyDescent="0.3">
      <c r="A61" s="41"/>
      <c r="B61" s="300"/>
      <c r="C61" s="688" t="s">
        <v>366</v>
      </c>
      <c r="D61" s="689"/>
      <c r="E61" s="689"/>
      <c r="F61" s="689"/>
      <c r="G61" s="690"/>
      <c r="I61" s="315" t="s">
        <v>369</v>
      </c>
      <c r="M61" s="324">
        <v>72768</v>
      </c>
      <c r="N61" s="324">
        <v>80755.895000000004</v>
      </c>
      <c r="O61" s="324">
        <f>5082139*2/O60</f>
        <v>106992.4</v>
      </c>
      <c r="P61" s="316">
        <f>O61*(1+'1.Input'!P35)</f>
        <v>110309.16439999998</v>
      </c>
      <c r="Q61" s="316">
        <f>P61*(1+'1.Input'!Q35)</f>
        <v>114500.91264719998</v>
      </c>
      <c r="R61" s="316">
        <f>Q61*(1+'1.Input'!R35)</f>
        <v>119195.45006573517</v>
      </c>
      <c r="S61" s="316">
        <f>R61*(1+'1.Input'!S35)</f>
        <v>123605.68171816737</v>
      </c>
      <c r="T61" s="316">
        <f>S61*(1+'1.Input'!T35)</f>
        <v>127931.88057830321</v>
      </c>
      <c r="U61" s="316">
        <f>T61*(1+'1.Input'!U35)</f>
        <v>131769.83699565232</v>
      </c>
      <c r="V61" s="316">
        <f>U61*(1+'1.Input'!V35)</f>
        <v>135722.9321055219</v>
      </c>
      <c r="W61" s="316">
        <f>V61*(1+'1.Input'!W35)</f>
        <v>139794.62006868757</v>
      </c>
      <c r="X61" s="316">
        <f>W61*(1+'1.Input'!X35)</f>
        <v>143988.45867074819</v>
      </c>
      <c r="Y61" s="316">
        <f>X61*(1+'1.Input'!Y35)</f>
        <v>148308.11243087065</v>
      </c>
      <c r="Z61" s="316">
        <f>Y61*(1+'1.Input'!Z35)</f>
        <v>152757.35580379676</v>
      </c>
      <c r="AA61" s="316">
        <f>Z61*(1+'1.Input'!AA35)</f>
        <v>157340.07647791065</v>
      </c>
      <c r="AB61" s="316">
        <f>AA61*(1+'1.Input'!AB35)</f>
        <v>162060.27877224798</v>
      </c>
      <c r="AC61" s="316">
        <f>AB61*(1+'1.Input'!AC35)</f>
        <v>166922.08713541544</v>
      </c>
      <c r="AD61" s="316">
        <f>AC61*(1+'1.Input'!AD35)</f>
        <v>171929.74974947789</v>
      </c>
      <c r="AE61" s="316">
        <f>AD61*(1+'1.Input'!AE35)</f>
        <v>177087.64224196222</v>
      </c>
      <c r="AF61" s="316">
        <f>AE61*(1+'1.Input'!AF35)</f>
        <v>182400.27150922109</v>
      </c>
      <c r="AG61" s="316">
        <f>AF61*(1+'1.Input'!AG35)</f>
        <v>187872.27965449772</v>
      </c>
      <c r="AH61" s="316">
        <f>AG61*(1+'1.Input'!AH35)</f>
        <v>193508.44804413265</v>
      </c>
      <c r="AI61" s="316">
        <f>AH61*(1+'1.Input'!AI35)</f>
        <v>199313.70148545664</v>
      </c>
      <c r="AJ61" s="316">
        <f>AI61*(1+'1.Input'!AJ35)</f>
        <v>205293.11253002033</v>
      </c>
      <c r="AK61" s="316">
        <f>AJ61*(1+'1.Input'!AK35)</f>
        <v>211451.90590592095</v>
      </c>
      <c r="AL61" s="316">
        <f>AK61*(1+'1.Input'!AL35)</f>
        <v>217795.46308309858</v>
      </c>
      <c r="AM61" s="316">
        <f>AL61*(1+'1.Input'!AM35)</f>
        <v>224329.32697559154</v>
      </c>
      <c r="AN61" s="316">
        <f>AM61*(1+'1.Input'!AN35)</f>
        <v>231059.2067848593</v>
      </c>
      <c r="AO61" s="316">
        <f>AN61*(1+'1.Input'!AO35)</f>
        <v>237990.98298840507</v>
      </c>
      <c r="AP61" s="316">
        <f>AO61*(1+'1.Input'!AP35)</f>
        <v>245130.71247805722</v>
      </c>
      <c r="AQ61" s="316">
        <f>AP61*(1+'1.Input'!AQ35)</f>
        <v>252484.63385239895</v>
      </c>
      <c r="AR61" s="316">
        <f>AQ61*(1+'1.Input'!AR35)</f>
        <v>260059.17286797092</v>
      </c>
      <c r="AS61" s="316">
        <f>AR61*(1+'1.Input'!AS35)</f>
        <v>267860.94805401005</v>
      </c>
      <c r="AU61" s="41"/>
      <c r="AV61" s="38"/>
    </row>
    <row r="62" spans="1:48" s="43" customFormat="1" x14ac:dyDescent="0.3">
      <c r="A62" s="41"/>
      <c r="B62" s="300">
        <f>B59+1</f>
        <v>23</v>
      </c>
      <c r="C62" s="608" t="s">
        <v>356</v>
      </c>
      <c r="D62" s="608"/>
      <c r="E62" s="608"/>
      <c r="F62" s="608"/>
      <c r="G62" s="608"/>
      <c r="H62" s="317"/>
      <c r="I62" s="315" t="s">
        <v>59</v>
      </c>
      <c r="J62" s="318"/>
      <c r="K62" s="318"/>
      <c r="L62" s="318"/>
      <c r="M62" s="319">
        <f>M63*M64</f>
        <v>6634866.5355321765</v>
      </c>
      <c r="N62" s="319">
        <f t="shared" ref="N62:AH62" si="122">N63*N64</f>
        <v>8264997.3728431873</v>
      </c>
      <c r="O62" s="319">
        <f t="shared" si="122"/>
        <v>6306906.3419262189</v>
      </c>
      <c r="P62" s="319">
        <f t="shared" si="122"/>
        <v>7636228.4473310933</v>
      </c>
      <c r="Q62" s="319">
        <f t="shared" si="122"/>
        <v>5637653.2958516767</v>
      </c>
      <c r="R62" s="319">
        <f t="shared" si="122"/>
        <v>5873381.5904246112</v>
      </c>
      <c r="S62" s="319">
        <f t="shared" si="122"/>
        <v>5348652.8859133963</v>
      </c>
      <c r="T62" s="319">
        <f t="shared" si="122"/>
        <v>4824579.7428969955</v>
      </c>
      <c r="U62" s="319">
        <f t="shared" si="122"/>
        <v>4641082.3955859831</v>
      </c>
      <c r="V62" s="319">
        <f t="shared" si="122"/>
        <v>4453732.3928276254</v>
      </c>
      <c r="W62" s="319">
        <f t="shared" si="122"/>
        <v>4261884.3033039859</v>
      </c>
      <c r="X62" s="319">
        <f t="shared" si="122"/>
        <v>4246029.7668254646</v>
      </c>
      <c r="Y62" s="319">
        <f t="shared" si="122"/>
        <v>4239559.8804213936</v>
      </c>
      <c r="Z62" s="319">
        <f t="shared" si="122"/>
        <v>4231378.7082869075</v>
      </c>
      <c r="AA62" s="319">
        <f t="shared" si="122"/>
        <v>4221458.2658364186</v>
      </c>
      <c r="AB62" s="319">
        <f t="shared" si="122"/>
        <v>4209767.4807664873</v>
      </c>
      <c r="AC62" s="319">
        <f t="shared" si="122"/>
        <v>4255269.3180225473</v>
      </c>
      <c r="AD62" s="319">
        <f t="shared" si="122"/>
        <v>4300448.243605243</v>
      </c>
      <c r="AE62" s="319">
        <f t="shared" si="122"/>
        <v>4345314.2527124602</v>
      </c>
      <c r="AF62" s="319">
        <f t="shared" si="122"/>
        <v>4389877.064631843</v>
      </c>
      <c r="AG62" s="319">
        <f t="shared" si="122"/>
        <v>4434146.1296624243</v>
      </c>
      <c r="AH62" s="319">
        <f t="shared" si="122"/>
        <v>4478130.6358734109</v>
      </c>
      <c r="AI62" s="319">
        <f t="shared" ref="AI62:AS62" si="123">AI63*AI64</f>
        <v>4521839.5157038318</v>
      </c>
      <c r="AJ62" s="319">
        <f t="shared" si="123"/>
        <v>4582323.6325339023</v>
      </c>
      <c r="AK62" s="319">
        <f t="shared" si="123"/>
        <v>4642804.5323444316</v>
      </c>
      <c r="AL62" s="319">
        <f t="shared" si="123"/>
        <v>4703286.4499815209</v>
      </c>
      <c r="AM62" s="319">
        <f t="shared" si="123"/>
        <v>4763773.5844971854</v>
      </c>
      <c r="AN62" s="319">
        <f t="shared" si="123"/>
        <v>4824270.0997652486</v>
      </c>
      <c r="AO62" s="319">
        <f t="shared" si="123"/>
        <v>4884780.1250905553</v>
      </c>
      <c r="AP62" s="319">
        <f t="shared" si="123"/>
        <v>4945307.7558115218</v>
      </c>
      <c r="AQ62" s="319">
        <f t="shared" si="123"/>
        <v>5005857.0538961459</v>
      </c>
      <c r="AR62" s="319">
        <f t="shared" si="123"/>
        <v>5066432.0485315565</v>
      </c>
      <c r="AS62" s="319">
        <f t="shared" si="123"/>
        <v>5127036.7367071658</v>
      </c>
      <c r="AU62" s="41"/>
      <c r="AV62" s="38"/>
    </row>
    <row r="63" spans="1:48" s="43" customFormat="1" ht="14.25" customHeight="1" outlineLevel="1" x14ac:dyDescent="0.3">
      <c r="A63" s="41"/>
      <c r="B63" s="300">
        <f t="shared" ref="B63:B71" si="124">B62+1</f>
        <v>24</v>
      </c>
      <c r="C63" s="688" t="s">
        <v>213</v>
      </c>
      <c r="D63" s="689"/>
      <c r="E63" s="689"/>
      <c r="F63" s="689"/>
      <c r="G63" s="690"/>
      <c r="I63" s="315" t="s">
        <v>359</v>
      </c>
      <c r="J63" s="302"/>
      <c r="K63" s="302"/>
      <c r="L63" s="302"/>
      <c r="M63" s="354">
        <v>9381.7487528911861</v>
      </c>
      <c r="N63" s="354">
        <v>9328</v>
      </c>
      <c r="O63" s="354">
        <f>'3.BilantPRO'!I49*1000</f>
        <v>8440.268644513435</v>
      </c>
      <c r="P63" s="319">
        <f>'3.BilantPRO'!J49*1000</f>
        <v>8314.5276097331225</v>
      </c>
      <c r="Q63" s="319">
        <f>'3.BilantPRO'!K49*1000</f>
        <v>8192.3583118049246</v>
      </c>
      <c r="R63" s="319">
        <f>'3.BilantPRO'!L49*1000</f>
        <v>7846.7643590928801</v>
      </c>
      <c r="S63" s="319">
        <f>'3.BilantPRO'!M49*1000</f>
        <v>7337.9338616094392</v>
      </c>
      <c r="T63" s="319">
        <f>'3.BilantPRO'!N49*1000</f>
        <v>6809.6795106540249</v>
      </c>
      <c r="U63" s="319">
        <f>'3.BilantPRO'!O49*1000</f>
        <v>6754.177755559851</v>
      </c>
      <c r="V63" s="319">
        <f>'3.BilantPRO'!P49*1000</f>
        <v>6699.6087634985033</v>
      </c>
      <c r="W63" s="319">
        <f>'3.BilantPRO'!Q49*1000</f>
        <v>6645.9558077168094</v>
      </c>
      <c r="X63" s="319">
        <f>'3.BilantPRO'!R49*1000</f>
        <v>6593.2024659657136</v>
      </c>
      <c r="Y63" s="319">
        <f>'3.BilantPRO'!S49*1000</f>
        <v>6558.2942854207322</v>
      </c>
      <c r="Z63" s="319">
        <f>'3.BilantPRO'!T49*1000</f>
        <v>6523.9569365292382</v>
      </c>
      <c r="AA63" s="319">
        <f>'3.BilantPRO'!U49*1000</f>
        <v>6490.1800720820975</v>
      </c>
      <c r="AB63" s="319">
        <f>'3.BilantPRO'!V49*1000</f>
        <v>6456.9535368143142</v>
      </c>
      <c r="AC63" s="319">
        <f>'3.BilantPRO'!W49*1000</f>
        <v>6424.2673638272836</v>
      </c>
      <c r="AD63" s="319">
        <f>'3.BilantPRO'!X49*1000</f>
        <v>6392.1117710777862</v>
      </c>
      <c r="AE63" s="319">
        <f>'3.BilantPRO'!Y49*1000</f>
        <v>6360.4771579325061</v>
      </c>
      <c r="AF63" s="319">
        <f>'3.BilantPRO'!Z49*1000</f>
        <v>6329.3541017868047</v>
      </c>
      <c r="AG63" s="319">
        <f>'3.BilantPRO'!AA49*1000</f>
        <v>6298.733354746606</v>
      </c>
      <c r="AH63" s="319">
        <f>'3.BilantPRO'!AB49*1000</f>
        <v>6268.6058403721781</v>
      </c>
      <c r="AI63" s="319">
        <f>'3.BilantPRO'!AC49*1000</f>
        <v>6238.962650482682</v>
      </c>
      <c r="AJ63" s="319">
        <f>'3.BilantPRO'!AD49*1000</f>
        <v>6232.976185781773</v>
      </c>
      <c r="AK63" s="319">
        <f>'3.BilantPRO'!AE49*1000</f>
        <v>6227.1524164062394</v>
      </c>
      <c r="AL63" s="319">
        <f>'3.BilantPRO'!AF49*1000</f>
        <v>6221.4902295562206</v>
      </c>
      <c r="AM63" s="319">
        <f>'3.BilantPRO'!AG49*1000</f>
        <v>6215.9885261306208</v>
      </c>
      <c r="AN63" s="319">
        <f>'3.BilantPRO'!AH49*1000</f>
        <v>6210.6462206029728</v>
      </c>
      <c r="AO63" s="319">
        <f>'3.BilantPRO'!AI49*1000</f>
        <v>6205.4622408986152</v>
      </c>
      <c r="AP63" s="319">
        <f>'3.BilantPRO'!AJ49*1000</f>
        <v>6200.4355282731594</v>
      </c>
      <c r="AQ63" s="319">
        <f>'3.BilantPRO'!AK49*1000</f>
        <v>6195.5650371922229</v>
      </c>
      <c r="AR63" s="319">
        <f>'3.BilantPRO'!AL49*1000</f>
        <v>6190.8497352124559</v>
      </c>
      <c r="AS63" s="319">
        <f>'3.BilantPRO'!AM49*1000</f>
        <v>6186.2886028637922</v>
      </c>
      <c r="AU63" s="41"/>
      <c r="AV63" s="38"/>
    </row>
    <row r="64" spans="1:48" s="43" customFormat="1" ht="14.25" customHeight="1" outlineLevel="1" x14ac:dyDescent="0.3">
      <c r="A64" s="41"/>
      <c r="B64" s="300">
        <f t="shared" si="124"/>
        <v>25</v>
      </c>
      <c r="C64" s="688" t="s">
        <v>150</v>
      </c>
      <c r="D64" s="689"/>
      <c r="E64" s="689"/>
      <c r="F64" s="689"/>
      <c r="G64" s="690"/>
      <c r="I64" s="315" t="s">
        <v>144</v>
      </c>
      <c r="J64" s="302"/>
      <c r="K64" s="302"/>
      <c r="L64" s="302"/>
      <c r="M64" s="354">
        <v>707.21</v>
      </c>
      <c r="N64" s="354">
        <v>886.04174237169673</v>
      </c>
      <c r="O64" s="319">
        <f>'1.Input'!O75</f>
        <v>747.24</v>
      </c>
      <c r="P64" s="319">
        <f>'1.Input'!P75+'1.Input'!P76+'1.Input'!P78+'1.Input'!P79</f>
        <v>918.41999999999985</v>
      </c>
      <c r="Q64" s="319">
        <f>'1.Input'!Q75+'1.Input'!Q76+'1.Input'!Q78+'1.Input'!Q79</f>
        <v>688.16</v>
      </c>
      <c r="R64" s="319">
        <f>'1.Input'!R75+'1.Input'!R76+'1.Input'!R78+'1.Input'!R79</f>
        <v>748.51</v>
      </c>
      <c r="S64" s="319">
        <f>'1.Input'!S75+'1.Input'!S76+'1.Input'!S78+'1.Input'!S79</f>
        <v>728.9044827586207</v>
      </c>
      <c r="T64" s="319">
        <f>'1.Input'!T75+'1.Input'!T76+'1.Input'!T78+'1.Input'!T79</f>
        <v>708.48851775604726</v>
      </c>
      <c r="U64" s="319">
        <f>'1.Input'!U75+'1.Input'!U76+'1.Input'!U78+'1.Input'!U79</f>
        <v>687.14247145266108</v>
      </c>
      <c r="V64" s="319">
        <f>'1.Input'!V75+'1.Input'!V76+'1.Input'!V78+'1.Input'!V79</f>
        <v>664.77499657784608</v>
      </c>
      <c r="W64" s="319">
        <f>'1.Input'!W75+'1.Input'!W76+'1.Input'!W78+'1.Input'!W79</f>
        <v>641.27484843570437</v>
      </c>
      <c r="X64" s="319">
        <f>'1.Input'!X75+'1.Input'!X76+'1.Input'!X78+'1.Input'!X79</f>
        <v>644.00111914408558</v>
      </c>
      <c r="Y64" s="319">
        <f>'1.Input'!Y75+'1.Input'!Y76+'1.Input'!Y78+'1.Input'!Y79</f>
        <v>646.44245834561752</v>
      </c>
      <c r="Z64" s="319">
        <f>'1.Input'!Z75+'1.Input'!Z76+'1.Input'!Z78+'1.Input'!Z79</f>
        <v>648.59083980067044</v>
      </c>
      <c r="AA64" s="319">
        <f>'1.Input'!AA75+'1.Input'!AA76+'1.Input'!AA78+'1.Input'!AA79</f>
        <v>650.43777198036105</v>
      </c>
      <c r="AB64" s="319">
        <f>'1.Input'!AB75+'1.Input'!AB76+'1.Input'!AB78+'1.Input'!AB79</f>
        <v>651.97425639885773</v>
      </c>
      <c r="AC64" s="319">
        <f>'1.Input'!AC75+'1.Input'!AC76+'1.Input'!AC78+'1.Input'!AC79</f>
        <v>662.37425639885782</v>
      </c>
      <c r="AD64" s="319">
        <f>'1.Input'!AD75+'1.Input'!AD76+'1.Input'!AD78+'1.Input'!AD79</f>
        <v>672.77425639885769</v>
      </c>
      <c r="AE64" s="319">
        <f>'1.Input'!AE75+'1.Input'!AE76+'1.Input'!AE78+'1.Input'!AE79</f>
        <v>683.17425639885778</v>
      </c>
      <c r="AF64" s="319">
        <f>'1.Input'!AF75+'1.Input'!AF76+'1.Input'!AF78+'1.Input'!AF79</f>
        <v>693.57425639885764</v>
      </c>
      <c r="AG64" s="319">
        <f>'1.Input'!AG75+'1.Input'!AG76+'1.Input'!AG78+'1.Input'!AG79</f>
        <v>703.97425639885773</v>
      </c>
      <c r="AH64" s="319">
        <f>'1.Input'!AH75+'1.Input'!AH76+'1.Input'!AH78+'1.Input'!AH79</f>
        <v>714.3742563988576</v>
      </c>
      <c r="AI64" s="319">
        <f>'1.Input'!AI75+'1.Input'!AI76+'1.Input'!AI78+'1.Input'!AI79</f>
        <v>724.77425639885769</v>
      </c>
      <c r="AJ64" s="319">
        <f>'1.Input'!AJ75+'1.Input'!AJ76+'1.Input'!AJ78+'1.Input'!AJ79</f>
        <v>735.17425639885755</v>
      </c>
      <c r="AK64" s="319">
        <f>'1.Input'!AK75+'1.Input'!AK76+'1.Input'!AK78+'1.Input'!AK79</f>
        <v>745.57425639885764</v>
      </c>
      <c r="AL64" s="319">
        <f>'1.Input'!AL75+'1.Input'!AL76+'1.Input'!AL78+'1.Input'!AL79</f>
        <v>755.97425639885751</v>
      </c>
      <c r="AM64" s="319">
        <f>'1.Input'!AM75+'1.Input'!AM76+'1.Input'!AM78+'1.Input'!AM79</f>
        <v>766.3742563988576</v>
      </c>
      <c r="AN64" s="319">
        <f>'1.Input'!AN75+'1.Input'!AN76+'1.Input'!AN78+'1.Input'!AN79</f>
        <v>776.77425639885746</v>
      </c>
      <c r="AO64" s="319">
        <f>'1.Input'!AO75+'1.Input'!AO76+'1.Input'!AO78+'1.Input'!AO79</f>
        <v>787.17425639885755</v>
      </c>
      <c r="AP64" s="319">
        <f>'1.Input'!AP75+'1.Input'!AP76+'1.Input'!AP78+'1.Input'!AP79</f>
        <v>797.57425639885741</v>
      </c>
      <c r="AQ64" s="319">
        <f>'1.Input'!AQ75+'1.Input'!AQ76+'1.Input'!AQ78+'1.Input'!AQ79</f>
        <v>807.97425639885751</v>
      </c>
      <c r="AR64" s="319">
        <f>'1.Input'!AR75+'1.Input'!AR76+'1.Input'!AR78+'1.Input'!AR79</f>
        <v>818.37425639885737</v>
      </c>
      <c r="AS64" s="319">
        <f>'1.Input'!AS75+'1.Input'!AS76+'1.Input'!AS78+'1.Input'!AS79</f>
        <v>828.77425639885746</v>
      </c>
      <c r="AU64" s="41"/>
      <c r="AV64" s="38"/>
    </row>
    <row r="65" spans="1:48" s="43" customFormat="1" ht="14.25" customHeight="1" x14ac:dyDescent="0.3">
      <c r="A65" s="41"/>
      <c r="B65" s="300">
        <f t="shared" si="124"/>
        <v>26</v>
      </c>
      <c r="C65" s="608" t="s">
        <v>656</v>
      </c>
      <c r="D65" s="608"/>
      <c r="E65" s="608"/>
      <c r="F65" s="608"/>
      <c r="G65" s="608"/>
      <c r="I65" s="315" t="s">
        <v>59</v>
      </c>
      <c r="J65" s="302"/>
      <c r="K65" s="302"/>
      <c r="L65" s="302"/>
      <c r="M65" s="354">
        <v>2202433</v>
      </c>
      <c r="N65" s="354">
        <v>2760600</v>
      </c>
      <c r="O65" s="319">
        <f>$N$65/'6.Venituri'!$N$23*'6.Venituri'!O23</f>
        <v>2686986.2584643508</v>
      </c>
      <c r="P65" s="319">
        <f>$N$65/'6.Venituri'!$N$23*'6.Venituri'!P23</f>
        <v>2615467.0057501402</v>
      </c>
      <c r="Q65" s="319">
        <f>$N$65/'6.Venituri'!$N$23*'6.Venituri'!Q23</f>
        <v>2545979.2931055757</v>
      </c>
      <c r="R65" s="319">
        <f>$N$65/'6.Venituri'!$N$23*'6.Venituri'!R23</f>
        <v>2487258.6786279124</v>
      </c>
      <c r="S65" s="319">
        <f>$N$65/'6.Venituri'!$N$23*'6.Venituri'!S23</f>
        <v>2435958.6099128276</v>
      </c>
      <c r="T65" s="319">
        <f>$N$65/'6.Venituri'!$N$23*'6.Venituri'!T23</f>
        <v>2386163.4143110276</v>
      </c>
      <c r="U65" s="319">
        <f>$N$65/'6.Venituri'!$N$23*'6.Venituri'!U23</f>
        <v>2354595.0082167275</v>
      </c>
      <c r="V65" s="319">
        <f>$N$65/'6.Venituri'!$N$23*'6.Venituri'!V23</f>
        <v>2323557.1410605228</v>
      </c>
      <c r="W65" s="319">
        <f>$N$65/'6.Venituri'!$N$23*'6.Venituri'!W23</f>
        <v>2293040.2989642303</v>
      </c>
      <c r="X65" s="319">
        <f>$N$65/'6.Venituri'!$N$23*'6.Venituri'!X23</f>
        <v>2263035.1412461675</v>
      </c>
      <c r="Y65" s="319">
        <f>$N$65/'6.Venituri'!$N$23*'6.Venituri'!Y23</f>
        <v>2243179.9922047136</v>
      </c>
      <c r="Z65" s="319">
        <f>$N$65/'6.Venituri'!$N$23*'6.Venituri'!Z23</f>
        <v>2223649.5220030225</v>
      </c>
      <c r="AA65" s="319">
        <f>$N$65/'6.Venituri'!$N$23*'6.Venituri'!AA23</f>
        <v>2204437.8453335138</v>
      </c>
      <c r="AB65" s="319">
        <f>$N$65/'6.Venituri'!$N$23*'6.Venituri'!AB23</f>
        <v>2185539.1860630051</v>
      </c>
      <c r="AC65" s="319">
        <f>$N$65/'6.Venituri'!$N$23*'6.Venituri'!AC23</f>
        <v>2166947.8751977473</v>
      </c>
      <c r="AD65" s="319">
        <f>$N$65/'6.Venituri'!$N$23*'6.Venituri'!AD23</f>
        <v>2148658.3488864335</v>
      </c>
      <c r="AE65" s="319">
        <f>$N$65/'6.Venituri'!$N$23*'6.Venituri'!AE23</f>
        <v>2130665.14646046</v>
      </c>
      <c r="AF65" s="319">
        <f>$N$65/'6.Venituri'!$N$23*'6.Venituri'!AF23</f>
        <v>2112962.9085107567</v>
      </c>
      <c r="AG65" s="319">
        <f>$N$65/'6.Venituri'!$N$23*'6.Venituri'!AG23</f>
        <v>2095546.3750004983</v>
      </c>
      <c r="AH65" s="319">
        <f>$N$65/'6.Venituri'!$N$23*'6.Venituri'!AH23</f>
        <v>2078410.3834130263</v>
      </c>
      <c r="AI65" s="319">
        <f>$N$65/'6.Venituri'!$N$23*'6.Venituri'!AI23</f>
        <v>2061549.8669343269</v>
      </c>
      <c r="AJ65" s="319">
        <f>$N$65/'6.Venituri'!$N$23*'6.Venituri'!AT23</f>
        <v>0</v>
      </c>
      <c r="AK65" s="319">
        <f>$N$65/'6.Venituri'!$N$23*'6.Venituri'!AU23</f>
        <v>0</v>
      </c>
      <c r="AL65" s="319">
        <f>$N$65/'6.Venituri'!$N$23*'6.Venituri'!AV23</f>
        <v>0</v>
      </c>
      <c r="AM65" s="319">
        <f>$N$65/'6.Venituri'!$N$23*'6.Venituri'!AW23</f>
        <v>0</v>
      </c>
      <c r="AN65" s="319">
        <f>$N$65/'6.Venituri'!$N$23*'6.Venituri'!AX23</f>
        <v>0</v>
      </c>
      <c r="AO65" s="319">
        <f>$N$65/'6.Venituri'!$N$23*'6.Venituri'!AY23</f>
        <v>0</v>
      </c>
      <c r="AP65" s="319">
        <f>$N$65/'6.Venituri'!$N$23*'6.Venituri'!AZ23</f>
        <v>0</v>
      </c>
      <c r="AQ65" s="319">
        <f>$N$65/'6.Venituri'!$N$23*'6.Venituri'!BA23</f>
        <v>0</v>
      </c>
      <c r="AR65" s="319">
        <f>$N$65/'6.Venituri'!$N$23*'6.Venituri'!BB23</f>
        <v>0</v>
      </c>
      <c r="AS65" s="319">
        <f>$N$65/'6.Venituri'!$N$23*'6.Venituri'!BC23</f>
        <v>0</v>
      </c>
      <c r="AU65" s="41"/>
      <c r="AV65" s="38"/>
    </row>
    <row r="66" spans="1:48" s="43" customFormat="1" ht="14.25" customHeight="1" x14ac:dyDescent="0.3">
      <c r="A66" s="41"/>
      <c r="B66" s="300">
        <f t="shared" si="124"/>
        <v>27</v>
      </c>
      <c r="C66" s="608" t="s">
        <v>63</v>
      </c>
      <c r="D66" s="608"/>
      <c r="E66" s="608"/>
      <c r="F66" s="608"/>
      <c r="G66" s="608"/>
      <c r="I66" s="315" t="s">
        <v>59</v>
      </c>
      <c r="J66" s="302"/>
      <c r="K66" s="322">
        <v>1.01</v>
      </c>
      <c r="L66" s="302"/>
      <c r="M66" s="354">
        <v>1116300</v>
      </c>
      <c r="N66" s="354">
        <v>2025000</v>
      </c>
      <c r="O66" s="354">
        <f>914164*2</f>
        <v>1828328</v>
      </c>
      <c r="P66" s="319">
        <f>O66*$K$66</f>
        <v>1846611.28</v>
      </c>
      <c r="Q66" s="319">
        <f t="shared" ref="Q66:AI66" si="125">P66*$K$66</f>
        <v>1865077.3928</v>
      </c>
      <c r="R66" s="319">
        <f t="shared" si="125"/>
        <v>1883728.1667280002</v>
      </c>
      <c r="S66" s="319">
        <f t="shared" si="125"/>
        <v>1902565.4483952802</v>
      </c>
      <c r="T66" s="319">
        <f t="shared" si="125"/>
        <v>1921591.102879233</v>
      </c>
      <c r="U66" s="319">
        <f t="shared" si="125"/>
        <v>1940807.0139080253</v>
      </c>
      <c r="V66" s="319">
        <f t="shared" si="125"/>
        <v>1960215.0840471056</v>
      </c>
      <c r="W66" s="319">
        <f t="shared" si="125"/>
        <v>1979817.2348875767</v>
      </c>
      <c r="X66" s="319">
        <f t="shared" si="125"/>
        <v>1999615.4072364524</v>
      </c>
      <c r="Y66" s="319">
        <f t="shared" si="125"/>
        <v>2019611.561308817</v>
      </c>
      <c r="Z66" s="319">
        <f t="shared" si="125"/>
        <v>2039807.6769219053</v>
      </c>
      <c r="AA66" s="319">
        <f t="shared" si="125"/>
        <v>2060205.7536911243</v>
      </c>
      <c r="AB66" s="319">
        <f t="shared" si="125"/>
        <v>2080807.8112280355</v>
      </c>
      <c r="AC66" s="319">
        <f t="shared" si="125"/>
        <v>2101615.8893403159</v>
      </c>
      <c r="AD66" s="319">
        <f t="shared" si="125"/>
        <v>2122632.0482337191</v>
      </c>
      <c r="AE66" s="319">
        <f t="shared" si="125"/>
        <v>2143858.3687160565</v>
      </c>
      <c r="AF66" s="319">
        <f t="shared" si="125"/>
        <v>2165296.9524032171</v>
      </c>
      <c r="AG66" s="319">
        <f t="shared" si="125"/>
        <v>2186949.9219272491</v>
      </c>
      <c r="AH66" s="319">
        <f t="shared" si="125"/>
        <v>2208819.4211465213</v>
      </c>
      <c r="AI66" s="319">
        <f t="shared" si="125"/>
        <v>2230907.6153579867</v>
      </c>
      <c r="AJ66" s="319">
        <f t="shared" ref="AJ66:AS66" si="126">AI66*$K$66</f>
        <v>2253216.6915115668</v>
      </c>
      <c r="AK66" s="319">
        <f t="shared" si="126"/>
        <v>2275748.8584266827</v>
      </c>
      <c r="AL66" s="319">
        <f t="shared" si="126"/>
        <v>2298506.3470109496</v>
      </c>
      <c r="AM66" s="319">
        <f t="shared" si="126"/>
        <v>2321491.410481059</v>
      </c>
      <c r="AN66" s="319">
        <f t="shared" si="126"/>
        <v>2344706.3245858694</v>
      </c>
      <c r="AO66" s="319">
        <f t="shared" si="126"/>
        <v>2368153.387831728</v>
      </c>
      <c r="AP66" s="319">
        <f t="shared" si="126"/>
        <v>2391834.9217100451</v>
      </c>
      <c r="AQ66" s="319">
        <f t="shared" si="126"/>
        <v>2415753.2709271456</v>
      </c>
      <c r="AR66" s="319">
        <f t="shared" si="126"/>
        <v>2439910.8036364173</v>
      </c>
      <c r="AS66" s="319">
        <f t="shared" si="126"/>
        <v>2464309.9116727812</v>
      </c>
      <c r="AU66" s="41"/>
      <c r="AV66" s="38"/>
    </row>
    <row r="67" spans="1:48" s="43" customFormat="1" x14ac:dyDescent="0.3">
      <c r="A67" s="41"/>
      <c r="B67" s="300">
        <f t="shared" si="124"/>
        <v>28</v>
      </c>
      <c r="C67" s="608" t="s">
        <v>352</v>
      </c>
      <c r="D67" s="608"/>
      <c r="E67" s="608"/>
      <c r="F67" s="608"/>
      <c r="G67" s="608"/>
      <c r="I67" s="315" t="s">
        <v>59</v>
      </c>
      <c r="J67" s="302"/>
      <c r="K67" s="302"/>
      <c r="L67" s="302"/>
      <c r="M67" s="354">
        <v>541155</v>
      </c>
      <c r="N67" s="354">
        <v>252000</v>
      </c>
      <c r="O67" s="319">
        <f>$N$67/'6.Venituri'!N23*'6.Venituri'!O23</f>
        <v>245280.20616279665</v>
      </c>
      <c r="P67" s="319">
        <f>$O$67/'3.BilantPRO'!$I$22*'3.BilantPRO'!J22</f>
        <v>238751.60669746995</v>
      </c>
      <c r="Q67" s="319">
        <f>$O$67/'3.BilantPRO'!$I$22*'3.BilantPRO'!K22</f>
        <v>232408.45535847469</v>
      </c>
      <c r="R67" s="319">
        <f>$O$67/'3.BilantPRO'!$I$22*'3.BilantPRO'!L22</f>
        <v>227048.17322836854</v>
      </c>
      <c r="S67" s="319">
        <f>$O$67/'3.BilantPRO'!$I$22*'3.BilantPRO'!M22</f>
        <v>222365.27193292501</v>
      </c>
      <c r="T67" s="319">
        <f>$O$67/'3.BilantPRO'!$I$22*'3.BilantPRO'!N22</f>
        <v>217819.74223226079</v>
      </c>
      <c r="U67" s="319">
        <f>$O$67/'3.BilantPRO'!$I$22*'3.BilantPRO'!O22</f>
        <v>214938.03595979701</v>
      </c>
      <c r="V67" s="319">
        <f>$O$67/'3.BilantPRO'!$I$22*'3.BilantPRO'!P22</f>
        <v>212104.75967081496</v>
      </c>
      <c r="W67" s="319">
        <f>$O$67/'3.BilantPRO'!$I$22*'3.BilantPRO'!Q22</f>
        <v>209319.04489566982</v>
      </c>
      <c r="X67" s="319">
        <f>$O$67/'3.BilantPRO'!$I$22*'3.BilantPRO'!R22</f>
        <v>206580.03897487299</v>
      </c>
      <c r="Y67" s="319">
        <f>$O$67/'3.BilantPRO'!$I$22*'3.BilantPRO'!S22</f>
        <v>204767.57155530975</v>
      </c>
      <c r="Z67" s="319">
        <f>$O$67/'3.BilantPRO'!$I$22*'3.BilantPRO'!T22</f>
        <v>202984.74228238856</v>
      </c>
      <c r="AA67" s="319">
        <f>$O$67/'3.BilantPRO'!$I$22*'3.BilantPRO'!U22</f>
        <v>201231.01391872988</v>
      </c>
      <c r="AB67" s="319">
        <f>$O$67/'3.BilantPRO'!$I$22*'3.BilantPRO'!V22</f>
        <v>199505.85919288467</v>
      </c>
      <c r="AC67" s="319">
        <f>$O$67/'3.BilantPRO'!$I$22*'3.BilantPRO'!W22</f>
        <v>197808.76061357406</v>
      </c>
      <c r="AD67" s="319">
        <f>$O$67/'3.BilantPRO'!$I$22*'3.BilantPRO'!X22</f>
        <v>196139.21028739456</v>
      </c>
      <c r="AE67" s="319">
        <f>$O$67/'3.BilantPRO'!$I$22*'3.BilantPRO'!Y22</f>
        <v>194496.70973992464</v>
      </c>
      <c r="AF67" s="319">
        <f>$O$67/'3.BilantPRO'!$I$22*'3.BilantPRO'!Z22</f>
        <v>192880.76974016914</v>
      </c>
      <c r="AG67" s="319">
        <f>$O$67/'3.BilantPRO'!$I$22*'3.BilantPRO'!AA22</f>
        <v>191290.91012827854</v>
      </c>
      <c r="AH67" s="319">
        <f>$O$67/'3.BilantPRO'!$I$22*'3.BilantPRO'!AB22</f>
        <v>189726.65964648366</v>
      </c>
      <c r="AI67" s="319">
        <f>$O$67/'3.BilantPRO'!$I$22*'3.BilantPRO'!AC22</f>
        <v>188187.55577318356</v>
      </c>
      <c r="AJ67" s="319">
        <f>$O$67/'3.BilantPRO'!$I$22*'3.BilantPRO'!AD22</f>
        <v>187876.73257760669</v>
      </c>
      <c r="AK67" s="319">
        <f>$O$67/'3.BilantPRO'!$I$22*'3.BilantPRO'!AE22</f>
        <v>187574.35668498155</v>
      </c>
      <c r="AL67" s="319">
        <f>$O$67/'3.BilantPRO'!$I$22*'3.BilantPRO'!AF22</f>
        <v>187280.37031763379</v>
      </c>
      <c r="AM67" s="319">
        <f>$O$67/'3.BilantPRO'!$I$22*'3.BilantPRO'!AG22</f>
        <v>186994.71640914225</v>
      </c>
      <c r="AN67" s="319">
        <f>$O$67/'3.BilantPRO'!$I$22*'3.BilantPRO'!AH22</f>
        <v>186717.33859789433</v>
      </c>
      <c r="AO67" s="319">
        <f>$O$67/'3.BilantPRO'!$I$22*'3.BilantPRO'!AI22</f>
        <v>186448.18122070839</v>
      </c>
      <c r="AP67" s="319">
        <f>$O$67/'3.BilantPRO'!$I$22*'3.BilantPRO'!AJ22</f>
        <v>186187.18930652353</v>
      </c>
      <c r="AQ67" s="319">
        <f>$O$67/'3.BilantPRO'!$I$22*'3.BilantPRO'!AK22</f>
        <v>185934.3085701559</v>
      </c>
      <c r="AR67" s="319">
        <f>$O$67/'3.BilantPRO'!$I$22*'3.BilantPRO'!AL22</f>
        <v>185689.48540612074</v>
      </c>
      <c r="AS67" s="319">
        <f>$O$67/'3.BilantPRO'!$I$22*'3.BilantPRO'!AM22</f>
        <v>185452.66688251949</v>
      </c>
      <c r="AU67" s="41"/>
      <c r="AV67" s="38"/>
    </row>
    <row r="68" spans="1:48" s="43" customFormat="1" x14ac:dyDescent="0.3">
      <c r="A68" s="41"/>
      <c r="B68" s="300">
        <f t="shared" si="124"/>
        <v>29</v>
      </c>
      <c r="C68" s="598" t="s">
        <v>363</v>
      </c>
      <c r="D68" s="599"/>
      <c r="E68" s="599"/>
      <c r="F68" s="599"/>
      <c r="G68" s="600"/>
      <c r="I68" s="315" t="s">
        <v>59</v>
      </c>
      <c r="J68" s="302"/>
      <c r="K68" s="302"/>
      <c r="L68" s="302"/>
      <c r="M68" s="354">
        <v>164814</v>
      </c>
      <c r="N68" s="354">
        <v>170438</v>
      </c>
      <c r="O68" s="354">
        <f>86894*2</f>
        <v>173788</v>
      </c>
      <c r="P68" s="319">
        <f>O68</f>
        <v>173788</v>
      </c>
      <c r="Q68" s="319">
        <f t="shared" ref="Q68:AI68" si="127">P68</f>
        <v>173788</v>
      </c>
      <c r="R68" s="319">
        <f t="shared" si="127"/>
        <v>173788</v>
      </c>
      <c r="S68" s="319">
        <f t="shared" si="127"/>
        <v>173788</v>
      </c>
      <c r="T68" s="319">
        <f t="shared" si="127"/>
        <v>173788</v>
      </c>
      <c r="U68" s="319">
        <f t="shared" si="127"/>
        <v>173788</v>
      </c>
      <c r="V68" s="319">
        <f t="shared" si="127"/>
        <v>173788</v>
      </c>
      <c r="W68" s="319">
        <f t="shared" si="127"/>
        <v>173788</v>
      </c>
      <c r="X68" s="319">
        <f t="shared" si="127"/>
        <v>173788</v>
      </c>
      <c r="Y68" s="319">
        <f t="shared" si="127"/>
        <v>173788</v>
      </c>
      <c r="Z68" s="319">
        <f t="shared" si="127"/>
        <v>173788</v>
      </c>
      <c r="AA68" s="319">
        <f t="shared" si="127"/>
        <v>173788</v>
      </c>
      <c r="AB68" s="319">
        <f t="shared" si="127"/>
        <v>173788</v>
      </c>
      <c r="AC68" s="319">
        <f t="shared" si="127"/>
        <v>173788</v>
      </c>
      <c r="AD68" s="319">
        <f t="shared" si="127"/>
        <v>173788</v>
      </c>
      <c r="AE68" s="319">
        <f t="shared" si="127"/>
        <v>173788</v>
      </c>
      <c r="AF68" s="319">
        <f t="shared" si="127"/>
        <v>173788</v>
      </c>
      <c r="AG68" s="319">
        <f t="shared" si="127"/>
        <v>173788</v>
      </c>
      <c r="AH68" s="319">
        <f t="shared" si="127"/>
        <v>173788</v>
      </c>
      <c r="AI68" s="319">
        <f t="shared" si="127"/>
        <v>173788</v>
      </c>
      <c r="AJ68" s="319">
        <f t="shared" ref="AJ68:AS68" si="128">AI68</f>
        <v>173788</v>
      </c>
      <c r="AK68" s="319">
        <f t="shared" si="128"/>
        <v>173788</v>
      </c>
      <c r="AL68" s="319">
        <f t="shared" si="128"/>
        <v>173788</v>
      </c>
      <c r="AM68" s="319">
        <f t="shared" si="128"/>
        <v>173788</v>
      </c>
      <c r="AN68" s="319">
        <f t="shared" si="128"/>
        <v>173788</v>
      </c>
      <c r="AO68" s="319">
        <f t="shared" si="128"/>
        <v>173788</v>
      </c>
      <c r="AP68" s="319">
        <f t="shared" si="128"/>
        <v>173788</v>
      </c>
      <c r="AQ68" s="319">
        <f t="shared" si="128"/>
        <v>173788</v>
      </c>
      <c r="AR68" s="319">
        <f t="shared" si="128"/>
        <v>173788</v>
      </c>
      <c r="AS68" s="319">
        <f t="shared" si="128"/>
        <v>173788</v>
      </c>
      <c r="AU68" s="41"/>
      <c r="AV68" s="38"/>
    </row>
    <row r="69" spans="1:48" s="43" customFormat="1" ht="22.5" customHeight="1" x14ac:dyDescent="0.3">
      <c r="A69" s="41"/>
      <c r="B69" s="300">
        <f t="shared" si="124"/>
        <v>30</v>
      </c>
      <c r="C69" s="608" t="s">
        <v>354</v>
      </c>
      <c r="D69" s="608"/>
      <c r="E69" s="608"/>
      <c r="F69" s="608"/>
      <c r="G69" s="608"/>
      <c r="I69" s="315" t="s">
        <v>59</v>
      </c>
      <c r="J69" s="302"/>
      <c r="K69" s="302"/>
      <c r="L69" s="302"/>
      <c r="M69" s="354">
        <v>175962</v>
      </c>
      <c r="N69" s="354">
        <v>168229</v>
      </c>
      <c r="O69" s="354">
        <f>N69</f>
        <v>168229</v>
      </c>
      <c r="P69" s="319">
        <f>0.5%*SUM(P59,P62,P65,P66,P67,P68,P70)*1.05</f>
        <v>120698.63902833822</v>
      </c>
      <c r="Q69" s="319">
        <f t="shared" ref="Q69:AI69" si="129">0.5%*SUM(Q59,Q62,Q65,Q66,Q67,Q68,Q70)*1.05</f>
        <v>111995.58897764857</v>
      </c>
      <c r="R69" s="319">
        <f t="shared" si="129"/>
        <v>115336.05491758212</v>
      </c>
      <c r="S69" s="319">
        <f t="shared" si="129"/>
        <v>114585.81739174672</v>
      </c>
      <c r="T69" s="319">
        <f t="shared" si="129"/>
        <v>113806.72095060621</v>
      </c>
      <c r="U69" s="319">
        <f t="shared" si="129"/>
        <v>114677.56108335192</v>
      </c>
      <c r="V69" s="319">
        <f t="shared" si="129"/>
        <v>115589.64862006092</v>
      </c>
      <c r="W69" s="319">
        <f t="shared" si="129"/>
        <v>116541.2733900281</v>
      </c>
      <c r="X69" s="319">
        <f t="shared" si="129"/>
        <v>118481.7476220212</v>
      </c>
      <c r="Y69" s="319">
        <f t="shared" si="129"/>
        <v>120593.43285372046</v>
      </c>
      <c r="Z69" s="319">
        <f t="shared" si="129"/>
        <v>122763.67661698829</v>
      </c>
      <c r="AA69" s="319">
        <f t="shared" si="129"/>
        <v>124994.24775695184</v>
      </c>
      <c r="AB69" s="319">
        <f t="shared" si="129"/>
        <v>127286.95780822336</v>
      </c>
      <c r="AC69" s="319">
        <f t="shared" si="129"/>
        <v>129953.39763545291</v>
      </c>
      <c r="AD69" s="319">
        <f t="shared" si="129"/>
        <v>132693.70840536925</v>
      </c>
      <c r="AE69" s="319">
        <f t="shared" si="129"/>
        <v>135510.10457573039</v>
      </c>
      <c r="AF69" s="319">
        <f t="shared" si="129"/>
        <v>138404.86531547544</v>
      </c>
      <c r="AG69" s="319">
        <f t="shared" si="129"/>
        <v>141380.33649545259</v>
      </c>
      <c r="AH69" s="319">
        <f t="shared" si="129"/>
        <v>144438.93273742823</v>
      </c>
      <c r="AI69" s="319">
        <f t="shared" si="129"/>
        <v>147583.1395231605</v>
      </c>
      <c r="AJ69" s="319">
        <f t="shared" ref="AJ69" si="130">0.5%*SUM(AJ59,AJ62,AJ65,AJ66,AJ67,AJ68,AJ70)*1.05</f>
        <v>140175.26642161878</v>
      </c>
      <c r="AK69" s="319">
        <f t="shared" ref="AK69" si="131">0.5%*SUM(AK59,AK62,AK65,AK66,AK67,AK68,AK70)*1.05</f>
        <v>143681.19574472262</v>
      </c>
      <c r="AL69" s="319">
        <f t="shared" ref="AL69" si="132">0.5%*SUM(AL59,AL62,AL65,AL66,AL67,AL68,AL70)*1.05</f>
        <v>147280.5083410735</v>
      </c>
      <c r="AM69" s="319">
        <f t="shared" ref="AM69" si="133">0.5%*SUM(AM59,AM62,AM65,AM66,AM67,AM68,AM70)*1.05</f>
        <v>150976.00231386008</v>
      </c>
      <c r="AN69" s="319">
        <f t="shared" ref="AN69" si="134">0.5%*SUM(AN59,AN62,AN65,AN66,AN67,AN68,AN70)*1.05</f>
        <v>154770.55863943091</v>
      </c>
      <c r="AO69" s="319">
        <f t="shared" ref="AO69" si="135">0.5%*SUM(AO59,AO62,AO65,AO66,AO67,AO68,AO70)*1.05</f>
        <v>158667.14365971775</v>
      </c>
      <c r="AP69" s="319">
        <f t="shared" ref="AP69" si="136">0.5%*SUM(AP59,AP62,AP65,AP66,AP67,AP68,AP70)*1.05</f>
        <v>162668.81164927853</v>
      </c>
      <c r="AQ69" s="319">
        <f t="shared" ref="AQ69" si="137">0.5%*SUM(AQ59,AQ62,AQ65,AQ66,AQ67,AQ68,AQ70)*1.05</f>
        <v>166778.70745919959</v>
      </c>
      <c r="AR69" s="319">
        <f t="shared" ref="AR69" si="138">0.5%*SUM(AR59,AR62,AR65,AR66,AR67,AR68,AR70)*1.05</f>
        <v>171000.06924016451</v>
      </c>
      <c r="AS69" s="319">
        <f t="shared" ref="AS69" si="139">0.5%*SUM(AS59,AS62,AS65,AS66,AS67,AS68,AS70)*1.05</f>
        <v>175336.23124706547</v>
      </c>
      <c r="AU69" s="41"/>
      <c r="AV69" s="38"/>
    </row>
    <row r="70" spans="1:48" s="43" customFormat="1" x14ac:dyDescent="0.3">
      <c r="A70" s="41"/>
      <c r="B70" s="300">
        <f t="shared" si="124"/>
        <v>31</v>
      </c>
      <c r="C70" s="608" t="s">
        <v>655</v>
      </c>
      <c r="D70" s="608"/>
      <c r="E70" s="608"/>
      <c r="F70" s="608"/>
      <c r="G70" s="608"/>
      <c r="I70" s="315" t="s">
        <v>59</v>
      </c>
      <c r="J70" s="302"/>
      <c r="K70" s="302"/>
      <c r="L70" s="302"/>
      <c r="M70" s="354"/>
      <c r="N70" s="354"/>
      <c r="O70" s="354">
        <v>0</v>
      </c>
      <c r="P70" s="319">
        <f>O70</f>
        <v>0</v>
      </c>
      <c r="Q70" s="319">
        <f t="shared" ref="Q70:AI70" si="140">P70</f>
        <v>0</v>
      </c>
      <c r="R70" s="319">
        <f t="shared" si="140"/>
        <v>0</v>
      </c>
      <c r="S70" s="319">
        <f t="shared" si="140"/>
        <v>0</v>
      </c>
      <c r="T70" s="319">
        <f t="shared" si="140"/>
        <v>0</v>
      </c>
      <c r="U70" s="319">
        <f t="shared" si="140"/>
        <v>0</v>
      </c>
      <c r="V70" s="319">
        <f t="shared" si="140"/>
        <v>0</v>
      </c>
      <c r="W70" s="319">
        <f t="shared" si="140"/>
        <v>0</v>
      </c>
      <c r="X70" s="319">
        <f t="shared" si="140"/>
        <v>0</v>
      </c>
      <c r="Y70" s="319">
        <f t="shared" si="140"/>
        <v>0</v>
      </c>
      <c r="Z70" s="319">
        <f t="shared" si="140"/>
        <v>0</v>
      </c>
      <c r="AA70" s="319">
        <f t="shared" si="140"/>
        <v>0</v>
      </c>
      <c r="AB70" s="319">
        <f t="shared" si="140"/>
        <v>0</v>
      </c>
      <c r="AC70" s="319">
        <f t="shared" si="140"/>
        <v>0</v>
      </c>
      <c r="AD70" s="319">
        <f t="shared" si="140"/>
        <v>0</v>
      </c>
      <c r="AE70" s="319">
        <f t="shared" si="140"/>
        <v>0</v>
      </c>
      <c r="AF70" s="319">
        <f t="shared" si="140"/>
        <v>0</v>
      </c>
      <c r="AG70" s="319">
        <f t="shared" si="140"/>
        <v>0</v>
      </c>
      <c r="AH70" s="319">
        <f t="shared" si="140"/>
        <v>0</v>
      </c>
      <c r="AI70" s="319">
        <f t="shared" si="140"/>
        <v>0</v>
      </c>
      <c r="AJ70" s="319">
        <f t="shared" ref="AJ70:AS70" si="141">AI70</f>
        <v>0</v>
      </c>
      <c r="AK70" s="319">
        <f t="shared" si="141"/>
        <v>0</v>
      </c>
      <c r="AL70" s="319">
        <f t="shared" si="141"/>
        <v>0</v>
      </c>
      <c r="AM70" s="319">
        <f t="shared" si="141"/>
        <v>0</v>
      </c>
      <c r="AN70" s="319">
        <f t="shared" si="141"/>
        <v>0</v>
      </c>
      <c r="AO70" s="319">
        <f t="shared" si="141"/>
        <v>0</v>
      </c>
      <c r="AP70" s="319">
        <f t="shared" si="141"/>
        <v>0</v>
      </c>
      <c r="AQ70" s="319">
        <f t="shared" si="141"/>
        <v>0</v>
      </c>
      <c r="AR70" s="319">
        <f t="shared" si="141"/>
        <v>0</v>
      </c>
      <c r="AS70" s="319">
        <f t="shared" si="141"/>
        <v>0</v>
      </c>
      <c r="AU70" s="41"/>
      <c r="AV70" s="38"/>
    </row>
    <row r="71" spans="1:48" s="43" customFormat="1" ht="27" customHeight="1" x14ac:dyDescent="0.3">
      <c r="A71" s="41"/>
      <c r="B71" s="300">
        <f t="shared" si="124"/>
        <v>32</v>
      </c>
      <c r="C71" s="679" t="s">
        <v>372</v>
      </c>
      <c r="D71" s="680"/>
      <c r="E71" s="680"/>
      <c r="F71" s="680"/>
      <c r="G71" s="681"/>
      <c r="H71" s="317"/>
      <c r="I71" s="313" t="s">
        <v>407</v>
      </c>
      <c r="J71" s="302"/>
      <c r="K71" s="302"/>
      <c r="L71" s="302"/>
      <c r="M71" s="321">
        <f>SUM(M59,M62,M65,M66,M67,M68,M69,M70)/1000</f>
        <v>17530.186535532175</v>
      </c>
      <c r="N71" s="321">
        <f t="shared" ref="N71:AI71" si="142">SUM(N59,N62,N65,N66,N67,N68,N69,N70)/1000</f>
        <v>21393.830292843184</v>
      </c>
      <c r="O71" s="321">
        <f t="shared" si="142"/>
        <v>21573.795806553364</v>
      </c>
      <c r="P71" s="321">
        <f t="shared" si="142"/>
        <v>23110.915596807044</v>
      </c>
      <c r="Q71" s="321">
        <f t="shared" si="142"/>
        <v>21444.488727577376</v>
      </c>
      <c r="R71" s="321">
        <f t="shared" si="142"/>
        <v>22084.108420171317</v>
      </c>
      <c r="S71" s="321">
        <f t="shared" si="142"/>
        <v>21940.455796772076</v>
      </c>
      <c r="T71" s="321">
        <f t="shared" si="142"/>
        <v>21791.277378208932</v>
      </c>
      <c r="U71" s="321">
        <f t="shared" si="142"/>
        <v>21958.022529340855</v>
      </c>
      <c r="V71" s="321">
        <f t="shared" si="142"/>
        <v>22132.665576250714</v>
      </c>
      <c r="W71" s="321">
        <f t="shared" si="142"/>
        <v>22314.879061966811</v>
      </c>
      <c r="X71" s="321">
        <f t="shared" si="142"/>
        <v>22686.433675626056</v>
      </c>
      <c r="Y71" s="321">
        <f t="shared" si="142"/>
        <v>23090.771119276666</v>
      </c>
      <c r="Z71" s="321">
        <f t="shared" si="142"/>
        <v>23506.3211274719</v>
      </c>
      <c r="AA71" s="321">
        <f t="shared" si="142"/>
        <v>23933.422391938249</v>
      </c>
      <c r="AB71" s="321">
        <f t="shared" si="142"/>
        <v>24372.421778422195</v>
      </c>
      <c r="AC71" s="321">
        <f t="shared" si="142"/>
        <v>24882.981518674103</v>
      </c>
      <c r="AD71" s="321">
        <f t="shared" si="142"/>
        <v>25407.68578561856</v>
      </c>
      <c r="AE71" s="321">
        <f t="shared" si="142"/>
        <v>25946.958595191041</v>
      </c>
      <c r="AF71" s="321">
        <f t="shared" si="142"/>
        <v>26501.23635397746</v>
      </c>
      <c r="AG71" s="321">
        <f t="shared" si="142"/>
        <v>27070.968240391183</v>
      </c>
      <c r="AH71" s="321">
        <f t="shared" si="142"/>
        <v>27656.616597009473</v>
      </c>
      <c r="AI71" s="321">
        <f t="shared" si="142"/>
        <v>28258.657334410869</v>
      </c>
      <c r="AJ71" s="321">
        <f t="shared" ref="AJ71" si="143">SUM(AJ59,AJ62,AJ65,AJ66,AJ67,AJ68,AJ69,AJ70)/1000</f>
        <v>26840.226013396627</v>
      </c>
      <c r="AK71" s="321">
        <f t="shared" ref="AK71" si="144">SUM(AK59,AK62,AK65,AK66,AK67,AK68,AK69,AK70)/1000</f>
        <v>27511.528004263313</v>
      </c>
      <c r="AL71" s="321">
        <f t="shared" ref="AL71" si="145">SUM(AL59,AL62,AL65,AL66,AL67,AL68,AL69,AL70)/1000</f>
        <v>28200.710668545547</v>
      </c>
      <c r="AM71" s="321">
        <f t="shared" ref="AM71" si="146">SUM(AM59,AM62,AM65,AM66,AM67,AM68,AM69,AM70)/1000</f>
        <v>28908.309776382441</v>
      </c>
      <c r="AN71" s="321">
        <f t="shared" ref="AN71" si="147">SUM(AN59,AN62,AN65,AN66,AN67,AN68,AN69,AN70)/1000</f>
        <v>29634.876966150074</v>
      </c>
      <c r="AO71" s="321">
        <f t="shared" ref="AO71" si="148">SUM(AO59,AO62,AO65,AO66,AO67,AO68,AO69,AO70)/1000</f>
        <v>30380.980221701189</v>
      </c>
      <c r="AP71" s="321">
        <f t="shared" ref="AP71" si="149">SUM(AP59,AP62,AP65,AP66,AP67,AP68,AP69,AP70)/1000</f>
        <v>31147.204363892804</v>
      </c>
      <c r="AQ71" s="321">
        <f t="shared" ref="AQ71" si="150">SUM(AQ59,AQ62,AQ65,AQ66,AQ67,AQ68,AQ69,AQ70)/1000</f>
        <v>31934.151556830548</v>
      </c>
      <c r="AR71" s="321">
        <f t="shared" ref="AR71" si="151">SUM(AR59,AR62,AR65,AR66,AR67,AR68,AR69,AR70)/1000</f>
        <v>32742.441829271494</v>
      </c>
      <c r="AS71" s="321">
        <f t="shared" ref="AS71" si="152">SUM(AS59,AS62,AS65,AS66,AS67,AS68,AS69,AS70)/1000</f>
        <v>33572.713611640487</v>
      </c>
      <c r="AU71" s="41"/>
      <c r="AV71" s="38"/>
    </row>
    <row r="72" spans="1:48" s="43" customFormat="1" ht="21" customHeight="1" x14ac:dyDescent="0.3">
      <c r="A72" s="41"/>
      <c r="B72" s="300"/>
      <c r="C72" s="306"/>
      <c r="D72" s="306"/>
      <c r="E72" s="306"/>
      <c r="F72" s="306"/>
      <c r="G72" s="306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U72" s="41"/>
      <c r="AV72" s="38"/>
    </row>
    <row r="73" spans="1:48" s="43" customFormat="1" ht="19.5" customHeight="1" x14ac:dyDescent="0.3">
      <c r="A73" s="41"/>
      <c r="B73" s="296">
        <f>B71+1</f>
        <v>33</v>
      </c>
      <c r="C73" s="691" t="s">
        <v>64</v>
      </c>
      <c r="D73" s="691"/>
      <c r="E73" s="691"/>
      <c r="F73" s="691"/>
      <c r="G73" s="691"/>
      <c r="I73" s="313" t="s">
        <v>407</v>
      </c>
      <c r="M73" s="323">
        <f t="shared" ref="M73:AI73" si="153">M56+M71</f>
        <v>40392.86430489592</v>
      </c>
      <c r="N73" s="323">
        <f t="shared" si="153"/>
        <v>58132.368121222069</v>
      </c>
      <c r="O73" s="323">
        <f t="shared" si="153"/>
        <v>64721.114413474206</v>
      </c>
      <c r="P73" s="323">
        <f t="shared" si="153"/>
        <v>69562.251924938668</v>
      </c>
      <c r="Q73" s="323">
        <f t="shared" si="153"/>
        <v>64476.720344892456</v>
      </c>
      <c r="R73" s="323">
        <f t="shared" si="153"/>
        <v>62929.69473307587</v>
      </c>
      <c r="S73" s="323">
        <f t="shared" si="153"/>
        <v>59766.846842495521</v>
      </c>
      <c r="T73" s="323">
        <f t="shared" si="153"/>
        <v>56452.427951187812</v>
      </c>
      <c r="U73" s="323">
        <f t="shared" si="153"/>
        <v>55818.376405556482</v>
      </c>
      <c r="V73" s="323">
        <f t="shared" si="153"/>
        <v>55196.891423479072</v>
      </c>
      <c r="W73" s="323">
        <f t="shared" si="153"/>
        <v>54587.561321371439</v>
      </c>
      <c r="X73" s="323">
        <f t="shared" si="153"/>
        <v>54579.601241856006</v>
      </c>
      <c r="Y73" s="323">
        <f t="shared" si="153"/>
        <v>54694.328187770632</v>
      </c>
      <c r="Z73" s="323">
        <f t="shared" si="153"/>
        <v>54823.139074575301</v>
      </c>
      <c r="AA73" s="323">
        <f t="shared" si="153"/>
        <v>54966.320510476915</v>
      </c>
      <c r="AB73" s="323">
        <f t="shared" si="153"/>
        <v>55124.168244984176</v>
      </c>
      <c r="AC73" s="323">
        <f t="shared" si="153"/>
        <v>55470.033726753216</v>
      </c>
      <c r="AD73" s="323">
        <f t="shared" si="153"/>
        <v>55832.716781367941</v>
      </c>
      <c r="AE73" s="323">
        <f t="shared" si="153"/>
        <v>56212.593062746324</v>
      </c>
      <c r="AF73" s="323">
        <f t="shared" si="153"/>
        <v>56610.051512187376</v>
      </c>
      <c r="AG73" s="323">
        <f t="shared" si="153"/>
        <v>57025.494722834032</v>
      </c>
      <c r="AH73" s="323">
        <f t="shared" si="153"/>
        <v>57459.339315607445</v>
      </c>
      <c r="AI73" s="323">
        <f t="shared" si="153"/>
        <v>57912.016326948287</v>
      </c>
      <c r="AJ73" s="323">
        <f t="shared" ref="AJ73:AS73" si="154">AJ56+AJ71</f>
        <v>56463.420847666392</v>
      </c>
      <c r="AK73" s="323">
        <f t="shared" si="154"/>
        <v>57105.378444395414</v>
      </c>
      <c r="AL73" s="323">
        <f t="shared" si="154"/>
        <v>57766.030872618954</v>
      </c>
      <c r="AM73" s="323">
        <f t="shared" si="154"/>
        <v>58445.908365415613</v>
      </c>
      <c r="AN73" s="323">
        <f t="shared" si="154"/>
        <v>59145.557092466282</v>
      </c>
      <c r="AO73" s="323">
        <f t="shared" si="154"/>
        <v>59865.539636675414</v>
      </c>
      <c r="AP73" s="323">
        <f t="shared" si="154"/>
        <v>60606.435485086578</v>
      </c>
      <c r="AQ73" s="323">
        <f t="shared" si="154"/>
        <v>61368.841534521329</v>
      </c>
      <c r="AR73" s="323">
        <f t="shared" si="154"/>
        <v>62153.372612382795</v>
      </c>
      <c r="AS73" s="323">
        <f t="shared" si="154"/>
        <v>62960.662013079229</v>
      </c>
      <c r="AU73" s="41"/>
    </row>
    <row r="74" spans="1:48" s="481" customFormat="1" x14ac:dyDescent="0.3">
      <c r="A74" s="479"/>
      <c r="B74" s="480"/>
      <c r="M74" s="155"/>
      <c r="N74" s="155"/>
      <c r="O74" s="155"/>
      <c r="AU74" s="479"/>
    </row>
    <row r="75" spans="1:48" s="43" customFormat="1" ht="17.25" thickBot="1" x14ac:dyDescent="0.3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1:48" s="43" customFormat="1" ht="17.25" thickBot="1" x14ac:dyDescent="0.35">
      <c r="A76" s="41"/>
      <c r="B76" s="41"/>
      <c r="C76" s="615" t="s">
        <v>35</v>
      </c>
      <c r="D76" s="616"/>
      <c r="E76" s="616"/>
      <c r="F76" s="616"/>
      <c r="G76" s="616"/>
      <c r="H76" s="617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1:48" s="43" customFormat="1" ht="17.25" thickBot="1" x14ac:dyDescent="0.35">
      <c r="A77" s="41"/>
      <c r="B77" s="296"/>
      <c r="C77" s="42"/>
      <c r="D77" s="42"/>
      <c r="E77" s="42"/>
      <c r="F77" s="42"/>
      <c r="G77" s="42"/>
      <c r="AU77" s="41"/>
    </row>
    <row r="78" spans="1:48" s="43" customFormat="1" ht="30" customHeight="1" thickBot="1" x14ac:dyDescent="0.35">
      <c r="A78" s="41"/>
      <c r="B78" s="296"/>
      <c r="C78" s="684" t="s">
        <v>351</v>
      </c>
      <c r="D78" s="685"/>
      <c r="E78" s="685"/>
      <c r="F78" s="685"/>
      <c r="G78" s="686"/>
      <c r="AU78" s="41"/>
    </row>
    <row r="79" spans="1:48" s="43" customFormat="1" hidden="1" outlineLevel="1" x14ac:dyDescent="0.3">
      <c r="A79" s="41"/>
      <c r="B79" s="300">
        <f>B73+1</f>
        <v>34</v>
      </c>
      <c r="C79" s="598" t="str">
        <f t="shared" ref="C79:C98" si="155">C11</f>
        <v>Costuri de personal</v>
      </c>
      <c r="D79" s="599"/>
      <c r="E79" s="599"/>
      <c r="F79" s="599"/>
      <c r="G79" s="600"/>
      <c r="I79" s="315" t="str">
        <f t="shared" ref="I79:I98" si="156">I11</f>
        <v>lei/an</v>
      </c>
      <c r="M79" s="316">
        <f>M80*M81</f>
        <v>6394921</v>
      </c>
      <c r="N79" s="316">
        <f t="shared" ref="N79:AH79" si="157">N80*N81</f>
        <v>6754571.3570399992</v>
      </c>
      <c r="O79" s="316">
        <f t="shared" si="157"/>
        <v>6957208.4977511996</v>
      </c>
      <c r="P79" s="316">
        <f t="shared" si="157"/>
        <v>7172881.961181487</v>
      </c>
      <c r="Q79" s="316">
        <f t="shared" si="157"/>
        <v>7445451.4757063836</v>
      </c>
      <c r="R79" s="316">
        <f t="shared" si="157"/>
        <v>7750714.9862103453</v>
      </c>
      <c r="S79" s="316">
        <f t="shared" si="157"/>
        <v>8037491.4407001268</v>
      </c>
      <c r="T79" s="316">
        <f t="shared" si="157"/>
        <v>8318803.6411246303</v>
      </c>
      <c r="U79" s="316">
        <f t="shared" si="157"/>
        <v>8568367.7503583692</v>
      </c>
      <c r="V79" s="316">
        <f t="shared" si="157"/>
        <v>8825418.7828691211</v>
      </c>
      <c r="W79" s="316">
        <f t="shared" si="157"/>
        <v>9090181.3463551942</v>
      </c>
      <c r="X79" s="316">
        <f t="shared" si="157"/>
        <v>9362886.78674585</v>
      </c>
      <c r="Y79" s="316">
        <f t="shared" si="157"/>
        <v>9643773.3903482258</v>
      </c>
      <c r="Z79" s="316">
        <f t="shared" si="157"/>
        <v>9933086.5920586735</v>
      </c>
      <c r="AA79" s="316">
        <f t="shared" si="157"/>
        <v>10231079.189820433</v>
      </c>
      <c r="AB79" s="316">
        <f t="shared" si="157"/>
        <v>10538011.565515047</v>
      </c>
      <c r="AC79" s="316">
        <f t="shared" si="157"/>
        <v>10854151.9124805</v>
      </c>
      <c r="AD79" s="316">
        <f t="shared" si="157"/>
        <v>11179776.469854916</v>
      </c>
      <c r="AE79" s="316">
        <f t="shared" si="157"/>
        <v>11515169.763950562</v>
      </c>
      <c r="AF79" s="316">
        <f t="shared" si="157"/>
        <v>11860624.856869079</v>
      </c>
      <c r="AG79" s="316">
        <f t="shared" si="157"/>
        <v>12216443.602575151</v>
      </c>
      <c r="AH79" s="316">
        <f t="shared" si="157"/>
        <v>12582936.910652407</v>
      </c>
      <c r="AI79" s="316">
        <f t="shared" ref="AI79" si="158">AI80*AI81</f>
        <v>12960425.017971979</v>
      </c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U79" s="41"/>
    </row>
    <row r="80" spans="1:48" s="43" customFormat="1" hidden="1" outlineLevel="2" x14ac:dyDescent="0.3">
      <c r="A80" s="41"/>
      <c r="B80" s="300">
        <f>B79+1</f>
        <v>35</v>
      </c>
      <c r="C80" s="688" t="str">
        <f t="shared" si="155"/>
        <v>Numar de personal</v>
      </c>
      <c r="D80" s="689"/>
      <c r="E80" s="689"/>
      <c r="F80" s="689"/>
      <c r="G80" s="690"/>
      <c r="I80" s="315" t="str">
        <f t="shared" si="156"/>
        <v>nr/an</v>
      </c>
      <c r="M80" s="324">
        <v>50</v>
      </c>
      <c r="N80" s="324">
        <v>54</v>
      </c>
      <c r="O80" s="316">
        <f>N80</f>
        <v>54</v>
      </c>
      <c r="P80" s="316">
        <f>O80</f>
        <v>54</v>
      </c>
      <c r="Q80" s="316">
        <f t="shared" ref="Q80:AI80" si="159">P80</f>
        <v>54</v>
      </c>
      <c r="R80" s="316">
        <f t="shared" si="159"/>
        <v>54</v>
      </c>
      <c r="S80" s="316">
        <f t="shared" si="159"/>
        <v>54</v>
      </c>
      <c r="T80" s="316">
        <f t="shared" si="159"/>
        <v>54</v>
      </c>
      <c r="U80" s="316">
        <f t="shared" si="159"/>
        <v>54</v>
      </c>
      <c r="V80" s="316">
        <f t="shared" si="159"/>
        <v>54</v>
      </c>
      <c r="W80" s="316">
        <f t="shared" si="159"/>
        <v>54</v>
      </c>
      <c r="X80" s="316">
        <f t="shared" si="159"/>
        <v>54</v>
      </c>
      <c r="Y80" s="316">
        <f t="shared" si="159"/>
        <v>54</v>
      </c>
      <c r="Z80" s="316">
        <f t="shared" si="159"/>
        <v>54</v>
      </c>
      <c r="AA80" s="316">
        <f t="shared" si="159"/>
        <v>54</v>
      </c>
      <c r="AB80" s="316">
        <f t="shared" si="159"/>
        <v>54</v>
      </c>
      <c r="AC80" s="316">
        <f t="shared" si="159"/>
        <v>54</v>
      </c>
      <c r="AD80" s="316">
        <f t="shared" si="159"/>
        <v>54</v>
      </c>
      <c r="AE80" s="316">
        <f t="shared" si="159"/>
        <v>54</v>
      </c>
      <c r="AF80" s="316">
        <f t="shared" si="159"/>
        <v>54</v>
      </c>
      <c r="AG80" s="316">
        <f t="shared" si="159"/>
        <v>54</v>
      </c>
      <c r="AH80" s="316">
        <f t="shared" si="159"/>
        <v>54</v>
      </c>
      <c r="AI80" s="316">
        <f t="shared" si="159"/>
        <v>54</v>
      </c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U80" s="41"/>
    </row>
    <row r="81" spans="1:47" s="43" customFormat="1" hidden="1" outlineLevel="2" x14ac:dyDescent="0.3">
      <c r="A81" s="41"/>
      <c r="B81" s="300">
        <f t="shared" ref="B81:B82" si="160">B80+1</f>
        <v>36</v>
      </c>
      <c r="C81" s="688" t="str">
        <f t="shared" si="155"/>
        <v>Salariul mediu brut (inclusiv contributiile sociale)</v>
      </c>
      <c r="D81" s="689"/>
      <c r="E81" s="689"/>
      <c r="F81" s="689"/>
      <c r="G81" s="690"/>
      <c r="I81" s="315" t="str">
        <f t="shared" si="156"/>
        <v>lei/pers/an</v>
      </c>
      <c r="M81" s="324">
        <f>(6142738+249145+3038)/M80</f>
        <v>127898.42</v>
      </c>
      <c r="N81" s="316">
        <f>M81*(1+'1.Input'!N35)</f>
        <v>125084.65475999999</v>
      </c>
      <c r="O81" s="316">
        <f>N81*(1+'1.Input'!O35)</f>
        <v>128837.1944028</v>
      </c>
      <c r="P81" s="316">
        <f>O81*(1+'1.Input'!P35)</f>
        <v>132831.14742928679</v>
      </c>
      <c r="Q81" s="316">
        <f>P81*(1+'1.Input'!Q35)</f>
        <v>137878.73103159969</v>
      </c>
      <c r="R81" s="316">
        <f>Q81*(1+'1.Input'!R35)</f>
        <v>143531.75900389528</v>
      </c>
      <c r="S81" s="316">
        <f>R81*(1+'1.Input'!S35)</f>
        <v>148842.43408703938</v>
      </c>
      <c r="T81" s="316">
        <f>S81*(1+'1.Input'!T35)</f>
        <v>154051.91928008574</v>
      </c>
      <c r="U81" s="316">
        <f>T81*(1+'1.Input'!U35)</f>
        <v>158673.47685848831</v>
      </c>
      <c r="V81" s="316">
        <f>U81*(1+'1.Input'!V35)</f>
        <v>163433.68116424297</v>
      </c>
      <c r="W81" s="316">
        <f>V81*(1+'1.Input'!W35)</f>
        <v>168336.69159917027</v>
      </c>
      <c r="X81" s="316">
        <f>W81*(1+'1.Input'!X35)</f>
        <v>173386.79234714538</v>
      </c>
      <c r="Y81" s="316">
        <f>X81*(1+'1.Input'!Y35)</f>
        <v>178588.39611755975</v>
      </c>
      <c r="Z81" s="316">
        <f>Y81*(1+'1.Input'!Z35)</f>
        <v>183946.04800108654</v>
      </c>
      <c r="AA81" s="316">
        <f>Z81*(1+'1.Input'!AA35)</f>
        <v>189464.42944111914</v>
      </c>
      <c r="AB81" s="316">
        <f>AA81*(1+'1.Input'!AB35)</f>
        <v>195148.36232435273</v>
      </c>
      <c r="AC81" s="316">
        <f>AB81*(1+'1.Input'!AC35)</f>
        <v>201002.81319408331</v>
      </c>
      <c r="AD81" s="316">
        <f>AC81*(1+'1.Input'!AD35)</f>
        <v>207032.89758990583</v>
      </c>
      <c r="AE81" s="316">
        <f>AD81*(1+'1.Input'!AE35)</f>
        <v>213243.884517603</v>
      </c>
      <c r="AF81" s="316">
        <f>AE81*(1+'1.Input'!AF35)</f>
        <v>219641.20105313111</v>
      </c>
      <c r="AG81" s="316">
        <f>AF81*(1+'1.Input'!AG35)</f>
        <v>226230.43708472504</v>
      </c>
      <c r="AH81" s="316">
        <f>AG81*(1+'1.Input'!AH35)</f>
        <v>233017.35019726679</v>
      </c>
      <c r="AI81" s="316">
        <f>AH81*(1+'1.Input'!AI35)</f>
        <v>240007.8707031848</v>
      </c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U81" s="41"/>
    </row>
    <row r="82" spans="1:47" s="43" customFormat="1" ht="14.25" hidden="1" customHeight="1" outlineLevel="1" x14ac:dyDescent="0.3">
      <c r="A82" s="41"/>
      <c r="B82" s="300">
        <f t="shared" si="160"/>
        <v>37</v>
      </c>
      <c r="C82" s="598" t="str">
        <f t="shared" si="155"/>
        <v>Costuri cu consumul de combustibil</v>
      </c>
      <c r="D82" s="599"/>
      <c r="E82" s="599"/>
      <c r="F82" s="599"/>
      <c r="G82" s="600"/>
      <c r="H82" s="317"/>
      <c r="I82" s="315" t="str">
        <f t="shared" si="156"/>
        <v>lei/an</v>
      </c>
      <c r="J82" s="318"/>
      <c r="K82" s="318"/>
      <c r="L82" s="318"/>
      <c r="M82" s="316" t="e">
        <f>M83*M84+M85*M86</f>
        <v>#REF!</v>
      </c>
      <c r="N82" s="316" t="e">
        <f t="shared" ref="N82:AH82" si="161">N83*N84+N85*N86</f>
        <v>#REF!</v>
      </c>
      <c r="O82" s="316" t="e">
        <f t="shared" si="161"/>
        <v>#REF!</v>
      </c>
      <c r="P82" s="316" t="e">
        <f t="shared" si="161"/>
        <v>#REF!</v>
      </c>
      <c r="Q82" s="316" t="e">
        <f t="shared" si="161"/>
        <v>#REF!</v>
      </c>
      <c r="R82" s="316" t="e">
        <f t="shared" si="161"/>
        <v>#REF!</v>
      </c>
      <c r="S82" s="316" t="e">
        <f t="shared" si="161"/>
        <v>#REF!</v>
      </c>
      <c r="T82" s="316" t="e">
        <f t="shared" si="161"/>
        <v>#REF!</v>
      </c>
      <c r="U82" s="316" t="e">
        <f t="shared" si="161"/>
        <v>#REF!</v>
      </c>
      <c r="V82" s="316" t="e">
        <f t="shared" si="161"/>
        <v>#REF!</v>
      </c>
      <c r="W82" s="316" t="e">
        <f t="shared" si="161"/>
        <v>#REF!</v>
      </c>
      <c r="X82" s="316" t="e">
        <f t="shared" si="161"/>
        <v>#REF!</v>
      </c>
      <c r="Y82" s="316" t="e">
        <f t="shared" si="161"/>
        <v>#REF!</v>
      </c>
      <c r="Z82" s="316" t="e">
        <f t="shared" si="161"/>
        <v>#REF!</v>
      </c>
      <c r="AA82" s="316" t="e">
        <f t="shared" si="161"/>
        <v>#REF!</v>
      </c>
      <c r="AB82" s="316" t="e">
        <f t="shared" si="161"/>
        <v>#REF!</v>
      </c>
      <c r="AC82" s="316" t="e">
        <f t="shared" si="161"/>
        <v>#REF!</v>
      </c>
      <c r="AD82" s="316" t="e">
        <f t="shared" si="161"/>
        <v>#REF!</v>
      </c>
      <c r="AE82" s="316" t="e">
        <f t="shared" si="161"/>
        <v>#REF!</v>
      </c>
      <c r="AF82" s="316" t="e">
        <f t="shared" si="161"/>
        <v>#REF!</v>
      </c>
      <c r="AG82" s="316" t="e">
        <f t="shared" si="161"/>
        <v>#REF!</v>
      </c>
      <c r="AH82" s="316" t="e">
        <f t="shared" si="161"/>
        <v>#REF!</v>
      </c>
      <c r="AI82" s="316" t="e">
        <f t="shared" ref="AI82" si="162">AI83*AI84+AI85*AI86</f>
        <v>#REF!</v>
      </c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17"/>
      <c r="AU82" s="41"/>
    </row>
    <row r="83" spans="1:47" s="43" customFormat="1" ht="14.25" hidden="1" customHeight="1" outlineLevel="2" x14ac:dyDescent="0.3">
      <c r="A83" s="41"/>
      <c r="B83" s="300">
        <f t="shared" ref="B83:B99" si="163">B82+1</f>
        <v>38</v>
      </c>
      <c r="C83" s="688" t="str">
        <f t="shared" si="155"/>
        <v>Gaze naturale</v>
      </c>
      <c r="D83" s="689"/>
      <c r="E83" s="689"/>
      <c r="F83" s="689"/>
      <c r="G83" s="690"/>
      <c r="I83" s="315" t="str">
        <f t="shared" si="156"/>
        <v>Mwh/an</v>
      </c>
      <c r="J83" s="302"/>
      <c r="K83" s="302"/>
      <c r="L83" s="302"/>
      <c r="M83" s="316" t="e">
        <f>'2.BilantNOPRO'!G52*1000/'1.Input'!$K$63*'1.Input'!$K$61</f>
        <v>#REF!</v>
      </c>
      <c r="N83" s="316" t="e">
        <f>'2.BilantNOPRO'!H52*1000/'1.Input'!$K$63*'1.Input'!$K$61</f>
        <v>#REF!</v>
      </c>
      <c r="O83" s="316">
        <f>'2.BilantNOPRO'!I52*1000/'1.Input'!$K$63*'1.Input'!$K$61</f>
        <v>170679.01234567902</v>
      </c>
      <c r="P83" s="316">
        <f>'2.BilantNOPRO'!J52*1000/'1.Input'!$K$63*'1.Input'!$K$61</f>
        <v>170679.01234567902</v>
      </c>
      <c r="Q83" s="316">
        <f>'2.BilantNOPRO'!K52*1000/'1.Input'!$K$63*'1.Input'!$K$61</f>
        <v>170679.01234567902</v>
      </c>
      <c r="R83" s="316">
        <f>'2.BilantNOPRO'!L52*1000/'1.Input'!$K$63*'1.Input'!$K$61</f>
        <v>170679.01234567902</v>
      </c>
      <c r="S83" s="316">
        <f>'2.BilantNOPRO'!M52*1000/'1.Input'!$K$63*'1.Input'!$K$61</f>
        <v>170679.01234567902</v>
      </c>
      <c r="T83" s="316">
        <f>'2.BilantNOPRO'!N52*1000/'1.Input'!$K$63*'1.Input'!$K$61</f>
        <v>170679.01234567902</v>
      </c>
      <c r="U83" s="316">
        <f>'2.BilantNOPRO'!O52*1000/'1.Input'!$K$63*'1.Input'!$K$61</f>
        <v>170679.01234567902</v>
      </c>
      <c r="V83" s="316">
        <f>'2.BilantNOPRO'!P52*1000/'1.Input'!$K$63*'1.Input'!$K$61</f>
        <v>170679.01234567902</v>
      </c>
      <c r="W83" s="316">
        <f>'2.BilantNOPRO'!Q52*1000/'1.Input'!$K$63*'1.Input'!$K$61</f>
        <v>170679.01234567902</v>
      </c>
      <c r="X83" s="316">
        <f>'2.BilantNOPRO'!R52*1000/'1.Input'!$K$63*'1.Input'!$K$61</f>
        <v>170679.01234567902</v>
      </c>
      <c r="Y83" s="316">
        <f>'2.BilantNOPRO'!S52*1000/'1.Input'!$K$63*'1.Input'!$K$61</f>
        <v>170679.01234567902</v>
      </c>
      <c r="Z83" s="316">
        <f>'2.BilantNOPRO'!T52*1000/'1.Input'!$K$63*'1.Input'!$K$61</f>
        <v>170679.01234567902</v>
      </c>
      <c r="AA83" s="316">
        <f>'2.BilantNOPRO'!U52*1000/'1.Input'!$K$63*'1.Input'!$K$61</f>
        <v>170679.01234567902</v>
      </c>
      <c r="AB83" s="316">
        <f>'2.BilantNOPRO'!V52*1000/'1.Input'!$K$63*'1.Input'!$K$61</f>
        <v>170679.01234567902</v>
      </c>
      <c r="AC83" s="316">
        <f>'2.BilantNOPRO'!W52*1000/'1.Input'!$K$63*'1.Input'!$K$61</f>
        <v>170679.01234567902</v>
      </c>
      <c r="AD83" s="316">
        <f>'2.BilantNOPRO'!X52*1000/'1.Input'!$K$63*'1.Input'!$K$61</f>
        <v>170679.01234567902</v>
      </c>
      <c r="AE83" s="316">
        <f>'2.BilantNOPRO'!Y52*1000/'1.Input'!$K$63*'1.Input'!$K$61</f>
        <v>170679.01234567902</v>
      </c>
      <c r="AF83" s="316">
        <f>'2.BilantNOPRO'!Z52*1000/'1.Input'!$K$63*'1.Input'!$K$61</f>
        <v>170679.01234567902</v>
      </c>
      <c r="AG83" s="316">
        <f>'2.BilantNOPRO'!AA52*1000/'1.Input'!$K$63*'1.Input'!$K$61</f>
        <v>170679.01234567902</v>
      </c>
      <c r="AH83" s="316">
        <f>'2.BilantNOPRO'!AB52*1000/'1.Input'!$K$63*'1.Input'!$K$61</f>
        <v>170679.01234567902</v>
      </c>
      <c r="AI83" s="316">
        <f>'2.BilantNOPRO'!AC52*1000/'1.Input'!$K$63*'1.Input'!$K$61</f>
        <v>170679.01234567902</v>
      </c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U83" s="41"/>
    </row>
    <row r="84" spans="1:47" s="43" customFormat="1" ht="14.25" hidden="1" customHeight="1" outlineLevel="2" x14ac:dyDescent="0.3">
      <c r="A84" s="41"/>
      <c r="B84" s="300">
        <f t="shared" si="163"/>
        <v>39</v>
      </c>
      <c r="C84" s="688" t="str">
        <f t="shared" si="155"/>
        <v>Pret achizitie gaze naturale</v>
      </c>
      <c r="D84" s="689"/>
      <c r="E84" s="689"/>
      <c r="F84" s="689"/>
      <c r="G84" s="690"/>
      <c r="I84" s="315" t="str">
        <f t="shared" si="156"/>
        <v>lei/Mwh</v>
      </c>
      <c r="J84" s="302"/>
      <c r="K84" s="302"/>
      <c r="L84" s="302"/>
      <c r="M84" s="324">
        <v>0</v>
      </c>
      <c r="N84" s="324">
        <v>0</v>
      </c>
      <c r="O84" s="316">
        <f>'1.Input'!O72</f>
        <v>310.92436974789916</v>
      </c>
      <c r="P84" s="316">
        <f>'1.Input'!P72</f>
        <v>310.92436974789916</v>
      </c>
      <c r="Q84" s="316">
        <f>'1.Input'!Q70*'1.Input'!Q37+'1.Input'!Q73+'1.Input'!Q74</f>
        <v>232.57017182035796</v>
      </c>
      <c r="R84" s="316">
        <f>Q84*(1+'1.Input'!R71)</f>
        <v>216.1709930381532</v>
      </c>
      <c r="S84" s="316">
        <f>R84*(1+'1.Input'!S71)</f>
        <v>199.7718142559485</v>
      </c>
      <c r="T84" s="316">
        <f>S84*(1+'1.Input'!T71)</f>
        <v>183.37263547374377</v>
      </c>
      <c r="U84" s="316">
        <f>T84*(1+'1.Input'!U71)</f>
        <v>166.97345669153907</v>
      </c>
      <c r="V84" s="316">
        <f>U84*(1+'1.Input'!V71)</f>
        <v>150.57427790933434</v>
      </c>
      <c r="W84" s="316">
        <f>V84*(1+'1.Input'!W71)</f>
        <v>134.17509912712956</v>
      </c>
      <c r="X84" s="316">
        <f>W84*(1+'1.Input'!X71)</f>
        <v>130.59709648373945</v>
      </c>
      <c r="Y84" s="316">
        <f>X84*(1+'1.Input'!Y71)</f>
        <v>127.01909384034933</v>
      </c>
      <c r="Z84" s="316">
        <f>Y84*(1+'1.Input'!Z71)</f>
        <v>123.44109119695919</v>
      </c>
      <c r="AA84" s="316">
        <f>Z84*(1+'1.Input'!AA71)</f>
        <v>119.86308855356907</v>
      </c>
      <c r="AB84" s="316">
        <f>AA84*(1+'1.Input'!AB71)</f>
        <v>116.28508591017896</v>
      </c>
      <c r="AC84" s="316">
        <f>AB84*(1+'1.Input'!AC71)</f>
        <v>116.28508591017896</v>
      </c>
      <c r="AD84" s="316">
        <f>AC84*(1+'1.Input'!AD71)</f>
        <v>116.28508591017896</v>
      </c>
      <c r="AE84" s="316">
        <f>AD84*(1+'1.Input'!AE71)</f>
        <v>116.28508591017896</v>
      </c>
      <c r="AF84" s="316">
        <f>AE84*(1+'1.Input'!AF71)</f>
        <v>116.28508591017896</v>
      </c>
      <c r="AG84" s="316">
        <f>AF84*(1+'1.Input'!AG71)</f>
        <v>116.28508591017896</v>
      </c>
      <c r="AH84" s="316">
        <f>AG84*(1+'1.Input'!AH71)</f>
        <v>116.28508591017896</v>
      </c>
      <c r="AI84" s="316">
        <f>AH84*(1+'1.Input'!AI71)</f>
        <v>116.28508591017896</v>
      </c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U84" s="41"/>
    </row>
    <row r="85" spans="1:47" s="43" customFormat="1" ht="14.25" hidden="1" customHeight="1" outlineLevel="2" x14ac:dyDescent="0.3">
      <c r="A85" s="41"/>
      <c r="B85" s="300">
        <f t="shared" si="163"/>
        <v>40</v>
      </c>
      <c r="C85" s="688" t="str">
        <f t="shared" si="155"/>
        <v xml:space="preserve">Biomasa </v>
      </c>
      <c r="D85" s="689"/>
      <c r="E85" s="689"/>
      <c r="F85" s="689"/>
      <c r="G85" s="690"/>
      <c r="I85" s="315" t="str">
        <f t="shared" si="156"/>
        <v>tone/an</v>
      </c>
      <c r="J85" s="302"/>
      <c r="K85" s="302"/>
      <c r="L85" s="302"/>
      <c r="M85" s="316" t="e">
        <f>'2.BilantNOPRO'!#REF!</f>
        <v>#REF!</v>
      </c>
      <c r="N85" s="316" t="e">
        <f>'2.BilantNOPRO'!#REF!</f>
        <v>#REF!</v>
      </c>
      <c r="O85" s="316" t="e">
        <f>'2.BilantNOPRO'!#REF!</f>
        <v>#REF!</v>
      </c>
      <c r="P85" s="316" t="e">
        <f>'2.BilantNOPRO'!#REF!</f>
        <v>#REF!</v>
      </c>
      <c r="Q85" s="316" t="e">
        <f>'2.BilantNOPRO'!#REF!</f>
        <v>#REF!</v>
      </c>
      <c r="R85" s="316" t="e">
        <f>'2.BilantNOPRO'!#REF!</f>
        <v>#REF!</v>
      </c>
      <c r="S85" s="316" t="e">
        <f>'2.BilantNOPRO'!#REF!</f>
        <v>#REF!</v>
      </c>
      <c r="T85" s="316" t="e">
        <f>'2.BilantNOPRO'!#REF!</f>
        <v>#REF!</v>
      </c>
      <c r="U85" s="316" t="e">
        <f>'2.BilantNOPRO'!#REF!</f>
        <v>#REF!</v>
      </c>
      <c r="V85" s="316" t="e">
        <f>'2.BilantNOPRO'!#REF!</f>
        <v>#REF!</v>
      </c>
      <c r="W85" s="316" t="e">
        <f>'2.BilantNOPRO'!#REF!</f>
        <v>#REF!</v>
      </c>
      <c r="X85" s="316" t="e">
        <f>'2.BilantNOPRO'!#REF!</f>
        <v>#REF!</v>
      </c>
      <c r="Y85" s="316" t="e">
        <f>'2.BilantNOPRO'!#REF!</f>
        <v>#REF!</v>
      </c>
      <c r="Z85" s="316" t="e">
        <f>'2.BilantNOPRO'!#REF!</f>
        <v>#REF!</v>
      </c>
      <c r="AA85" s="316" t="e">
        <f>'2.BilantNOPRO'!#REF!</f>
        <v>#REF!</v>
      </c>
      <c r="AB85" s="316" t="e">
        <f>'2.BilantNOPRO'!#REF!</f>
        <v>#REF!</v>
      </c>
      <c r="AC85" s="316" t="e">
        <f>'2.BilantNOPRO'!#REF!</f>
        <v>#REF!</v>
      </c>
      <c r="AD85" s="316" t="e">
        <f>'2.BilantNOPRO'!#REF!</f>
        <v>#REF!</v>
      </c>
      <c r="AE85" s="316" t="e">
        <f>'2.BilantNOPRO'!#REF!</f>
        <v>#REF!</v>
      </c>
      <c r="AF85" s="316" t="e">
        <f>'2.BilantNOPRO'!#REF!</f>
        <v>#REF!</v>
      </c>
      <c r="AG85" s="316" t="e">
        <f>'2.BilantNOPRO'!#REF!</f>
        <v>#REF!</v>
      </c>
      <c r="AH85" s="316" t="e">
        <f>'2.BilantNOPRO'!#REF!</f>
        <v>#REF!</v>
      </c>
      <c r="AI85" s="316" t="e">
        <f>'2.BilantNOPRO'!#REF!</f>
        <v>#REF!</v>
      </c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U85" s="41"/>
    </row>
    <row r="86" spans="1:47" s="43" customFormat="1" ht="14.25" hidden="1" customHeight="1" outlineLevel="2" x14ac:dyDescent="0.3">
      <c r="A86" s="41"/>
      <c r="B86" s="300">
        <f t="shared" si="163"/>
        <v>41</v>
      </c>
      <c r="C86" s="688" t="str">
        <f t="shared" si="155"/>
        <v>Pret achizitie biomasa</v>
      </c>
      <c r="D86" s="689"/>
      <c r="E86" s="689"/>
      <c r="F86" s="689"/>
      <c r="G86" s="690"/>
      <c r="I86" s="315" t="str">
        <f t="shared" si="156"/>
        <v>lei/tona</v>
      </c>
      <c r="J86" s="302"/>
      <c r="K86" s="302"/>
      <c r="L86" s="302"/>
      <c r="M86" s="324">
        <v>337.44515619999999</v>
      </c>
      <c r="N86" s="324">
        <v>428.29</v>
      </c>
      <c r="O86" s="316">
        <f>'1.Input'!O83</f>
        <v>763</v>
      </c>
      <c r="P86" s="316">
        <f>'1.Input'!P83</f>
        <v>763</v>
      </c>
      <c r="Q86" s="316">
        <f>'1.Input'!Q83</f>
        <v>763</v>
      </c>
      <c r="R86" s="316">
        <f>'1.Input'!R83</f>
        <v>763</v>
      </c>
      <c r="S86" s="316">
        <f>'1.Input'!S83</f>
        <v>763</v>
      </c>
      <c r="T86" s="316">
        <f>'1.Input'!T83</f>
        <v>763</v>
      </c>
      <c r="U86" s="316">
        <f>'1.Input'!U83</f>
        <v>763</v>
      </c>
      <c r="V86" s="316">
        <f>'1.Input'!V83</f>
        <v>763</v>
      </c>
      <c r="W86" s="316">
        <f>'1.Input'!W83</f>
        <v>763</v>
      </c>
      <c r="X86" s="316">
        <f>'1.Input'!X83</f>
        <v>763</v>
      </c>
      <c r="Y86" s="316">
        <f>'1.Input'!Y83</f>
        <v>763</v>
      </c>
      <c r="Z86" s="316">
        <f>'1.Input'!Z83</f>
        <v>763</v>
      </c>
      <c r="AA86" s="316">
        <f>'1.Input'!AA83</f>
        <v>763</v>
      </c>
      <c r="AB86" s="316">
        <f>'1.Input'!AB83</f>
        <v>763</v>
      </c>
      <c r="AC86" s="316">
        <f>'1.Input'!AC83</f>
        <v>763</v>
      </c>
      <c r="AD86" s="316">
        <f>'1.Input'!AD83</f>
        <v>763</v>
      </c>
      <c r="AE86" s="316">
        <f>'1.Input'!AE83</f>
        <v>763</v>
      </c>
      <c r="AF86" s="316">
        <f>'1.Input'!AF83</f>
        <v>763</v>
      </c>
      <c r="AG86" s="316">
        <f>'1.Input'!AG83</f>
        <v>763</v>
      </c>
      <c r="AH86" s="316">
        <f>'1.Input'!AH83</f>
        <v>763</v>
      </c>
      <c r="AI86" s="316">
        <f>'1.Input'!AI83</f>
        <v>763</v>
      </c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U86" s="41"/>
    </row>
    <row r="87" spans="1:47" s="43" customFormat="1" ht="14.25" hidden="1" customHeight="1" outlineLevel="1" x14ac:dyDescent="0.3">
      <c r="A87" s="41"/>
      <c r="B87" s="300">
        <f t="shared" si="163"/>
        <v>42</v>
      </c>
      <c r="C87" s="598" t="str">
        <f t="shared" si="155"/>
        <v>Costuri materiale</v>
      </c>
      <c r="D87" s="599"/>
      <c r="E87" s="599"/>
      <c r="F87" s="599"/>
      <c r="G87" s="600"/>
      <c r="I87" s="315" t="str">
        <f t="shared" si="156"/>
        <v>lei/an</v>
      </c>
      <c r="J87" s="302"/>
      <c r="K87" s="302"/>
      <c r="L87" s="302"/>
      <c r="M87" s="324">
        <v>772505.16</v>
      </c>
      <c r="N87" s="324">
        <v>953038.22</v>
      </c>
      <c r="O87" s="316">
        <f>N87/'2.BilantNOPRO'!H61*'2.BilantNOPRO'!I61</f>
        <v>930511.00603388809</v>
      </c>
      <c r="P87" s="316">
        <f>O87/'2.BilantNOPRO'!I61*'2.BilantNOPRO'!J61</f>
        <v>916648.48320421134</v>
      </c>
      <c r="Q87" s="316">
        <f>P87/'2.BilantNOPRO'!J61*'2.BilantNOPRO'!K61</f>
        <v>903179.73225449852</v>
      </c>
      <c r="R87" s="316">
        <f>Q87/'2.BilantNOPRO'!K61*'2.BilantNOPRO'!L61</f>
        <v>890092.93479590211</v>
      </c>
      <c r="S87" s="316">
        <f>R87/'2.BilantNOPRO'!L61*'2.BilantNOPRO'!M61</f>
        <v>877376.64294495212</v>
      </c>
      <c r="T87" s="316">
        <f>S87/'2.BilantNOPRO'!M61*'2.BilantNOPRO'!N61</f>
        <v>868784.20785205311</v>
      </c>
      <c r="U87" s="316">
        <f>T87/'2.BilantNOPRO'!N61*'2.BilantNOPRO'!O61</f>
        <v>860349.75462358794</v>
      </c>
      <c r="V87" s="316">
        <f>U87/'2.BilantNOPRO'!O61*'2.BilantNOPRO'!P61</f>
        <v>852070.37647598214</v>
      </c>
      <c r="W87" s="316">
        <f>V87/'2.BilantNOPRO'!P61*'2.BilantNOPRO'!Q61</f>
        <v>843943.22014633333</v>
      </c>
      <c r="X87" s="316">
        <f>W87/'2.BilantNOPRO'!Q61*'2.BilantNOPRO'!R61</f>
        <v>835965.48490630672</v>
      </c>
      <c r="Y87" s="316">
        <f>X87/'2.BilantNOPRO'!R61*'2.BilantNOPRO'!S61</f>
        <v>830004.38826614036</v>
      </c>
      <c r="Z87" s="316">
        <f>Y87/'2.BilantNOPRO'!S61*'2.BilantNOPRO'!T61</f>
        <v>824154.54059202096</v>
      </c>
      <c r="AA87" s="316">
        <f>Z87/'2.BilantNOPRO'!T61*'2.BilantNOPRO'!U61</f>
        <v>818413.86570011964</v>
      </c>
      <c r="AB87" s="316">
        <f>AA87/'2.BilantNOPRO'!U61*'2.BilantNOPRO'!V61</f>
        <v>812780.32615338906</v>
      </c>
      <c r="AC87" s="316">
        <f>AB87/'2.BilantNOPRO'!V61*'2.BilantNOPRO'!W61</f>
        <v>807251.92253844894</v>
      </c>
      <c r="AD87" s="316">
        <f>AC87/'2.BilantNOPRO'!W61*'2.BilantNOPRO'!X61</f>
        <v>801826.69275597262</v>
      </c>
      <c r="AE87" s="316">
        <f>AD87/'2.BilantNOPRO'!X61*'2.BilantNOPRO'!Y61</f>
        <v>796502.71132431168</v>
      </c>
      <c r="AF87" s="316">
        <f>AE87/'2.BilantNOPRO'!Y61*'2.BilantNOPRO'!Z61</f>
        <v>791278.08869611938</v>
      </c>
      <c r="AG87" s="316">
        <f>AF87/'2.BilantNOPRO'!Z61*'2.BilantNOPRO'!AA61</f>
        <v>786150.97058772552</v>
      </c>
      <c r="AH87" s="316">
        <f>AG87/'2.BilantNOPRO'!AA61*'2.BilantNOPRO'!AB61</f>
        <v>781119.5373210297</v>
      </c>
      <c r="AI87" s="316">
        <f>AH87/'2.BilantNOPRO'!AB61*'2.BilantNOPRO'!AC61</f>
        <v>776182.00317767356</v>
      </c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U87" s="41"/>
    </row>
    <row r="88" spans="1:47" s="43" customFormat="1" ht="14.25" hidden="1" customHeight="1" outlineLevel="1" x14ac:dyDescent="0.3">
      <c r="A88" s="41"/>
      <c r="B88" s="300">
        <f t="shared" si="163"/>
        <v>43</v>
      </c>
      <c r="C88" s="598" t="str">
        <f t="shared" si="155"/>
        <v>Cheltuieli cu consumul de apa tehnologica</v>
      </c>
      <c r="D88" s="599"/>
      <c r="E88" s="599"/>
      <c r="F88" s="599"/>
      <c r="G88" s="600"/>
      <c r="I88" s="315" t="str">
        <f t="shared" si="156"/>
        <v>lei/an</v>
      </c>
      <c r="J88" s="302"/>
      <c r="K88" s="302"/>
      <c r="L88" s="302"/>
      <c r="M88" s="324">
        <v>1272909.17</v>
      </c>
      <c r="N88" s="324">
        <v>1599350.96</v>
      </c>
      <c r="O88" s="316">
        <f>N88/'2.BilantNOPRO'!H61*'2.BilantNOPRO'!I61</f>
        <v>1561546.682556828</v>
      </c>
      <c r="P88" s="316">
        <f>O88/'2.BilantNOPRO'!I61*'2.BilantNOPRO'!J61</f>
        <v>1538283.1462889274</v>
      </c>
      <c r="Q88" s="316">
        <f>P88/'2.BilantNOPRO'!J61*'2.BilantNOPRO'!K61</f>
        <v>1515680.4223798863</v>
      </c>
      <c r="R88" s="316">
        <f>Q88/'2.BilantNOPRO'!K61*'2.BilantNOPRO'!L61</f>
        <v>1493718.6776780507</v>
      </c>
      <c r="S88" s="316">
        <f>R88/'2.BilantNOPRO'!L61*'2.BilantNOPRO'!M61</f>
        <v>1472378.7007992042</v>
      </c>
      <c r="T88" s="316">
        <f>S88/'2.BilantNOPRO'!M61*'2.BilantNOPRO'!N61</f>
        <v>1457959.2168517862</v>
      </c>
      <c r="U88" s="316">
        <f>T88/'2.BilantNOPRO'!N61*'2.BilantNOPRO'!O61</f>
        <v>1443804.8518064676</v>
      </c>
      <c r="V88" s="316">
        <f>U88/'2.BilantNOPRO'!O61*'2.BilantNOPRO'!P61</f>
        <v>1429910.7276142852</v>
      </c>
      <c r="W88" s="316">
        <f>V88/'2.BilantNOPRO'!P61*'2.BilantNOPRO'!Q61</f>
        <v>1416272.0560425473</v>
      </c>
      <c r="X88" s="316">
        <f>W88/'2.BilantNOPRO'!Q61*'2.BilantNOPRO'!R61</f>
        <v>1402884.1370199898</v>
      </c>
      <c r="Y88" s="316">
        <f>X88/'2.BilantNOPRO'!R61*'2.BilantNOPRO'!S61</f>
        <v>1392880.4609511509</v>
      </c>
      <c r="Z88" s="316">
        <f>Y88/'2.BilantNOPRO'!S61*'2.BilantNOPRO'!T61</f>
        <v>1383063.4784869463</v>
      </c>
      <c r="AA88" s="316">
        <f>Z88/'2.BilantNOPRO'!T61*'2.BilantNOPRO'!U61</f>
        <v>1373429.7054579798</v>
      </c>
      <c r="AB88" s="316">
        <f>AA88/'2.BilantNOPRO'!U61*'2.BilantNOPRO'!V61</f>
        <v>1363975.7227181674</v>
      </c>
      <c r="AC88" s="316">
        <f>AB88/'2.BilantNOPRO'!V61*'2.BilantNOPRO'!W61</f>
        <v>1354698.1749312361</v>
      </c>
      <c r="AD88" s="316">
        <f>AC88/'2.BilantNOPRO'!W61*'2.BilantNOPRO'!X61</f>
        <v>1345593.7693798782</v>
      </c>
      <c r="AE88" s="316">
        <f>AD88/'2.BilantNOPRO'!X61*'2.BilantNOPRO'!Y61</f>
        <v>1336659.2747971227</v>
      </c>
      <c r="AF88" s="316">
        <f>AE88/'2.BilantNOPRO'!Y61*'2.BilantNOPRO'!Z61</f>
        <v>1327891.5202195183</v>
      </c>
      <c r="AG88" s="316">
        <f>AF88/'2.BilantNOPRO'!Z61*'2.BilantNOPRO'!AA61</f>
        <v>1319287.393861718</v>
      </c>
      <c r="AH88" s="316">
        <f>AG88/'2.BilantNOPRO'!AA61*'2.BilantNOPRO'!AB61</f>
        <v>1310843.8420120704</v>
      </c>
      <c r="AI88" s="316">
        <f>AH88/'2.BilantNOPRO'!AB61*'2.BilantNOPRO'!AC61</f>
        <v>1302557.8679488169</v>
      </c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U88" s="41"/>
    </row>
    <row r="89" spans="1:47" s="43" customFormat="1" ht="14.25" hidden="1" customHeight="1" outlineLevel="1" x14ac:dyDescent="0.3">
      <c r="A89" s="41"/>
      <c r="B89" s="300">
        <f t="shared" si="163"/>
        <v>44</v>
      </c>
      <c r="C89" s="598" t="str">
        <f t="shared" si="155"/>
        <v>Costuri cu achizitia de certificate CO2</v>
      </c>
      <c r="D89" s="599"/>
      <c r="E89" s="599"/>
      <c r="F89" s="599"/>
      <c r="G89" s="600"/>
      <c r="I89" s="315" t="str">
        <f t="shared" si="156"/>
        <v>lei/an</v>
      </c>
      <c r="J89" s="302"/>
      <c r="K89" s="302"/>
      <c r="L89" s="302"/>
      <c r="M89" s="316">
        <f>M90*M91</f>
        <v>0</v>
      </c>
      <c r="N89" s="316">
        <f t="shared" ref="N89:AH89" si="164">N90*N91</f>
        <v>0</v>
      </c>
      <c r="O89" s="316">
        <f t="shared" si="164"/>
        <v>11965261.000000002</v>
      </c>
      <c r="P89" s="316">
        <f t="shared" si="164"/>
        <v>12795750.255555557</v>
      </c>
      <c r="Q89" s="316">
        <f t="shared" si="164"/>
        <v>14556822.577733334</v>
      </c>
      <c r="R89" s="316">
        <f t="shared" si="164"/>
        <v>15083038.52657778</v>
      </c>
      <c r="S89" s="316">
        <f t="shared" si="164"/>
        <v>15617542.102088891</v>
      </c>
      <c r="T89" s="316">
        <f t="shared" si="164"/>
        <v>16036971.981333336</v>
      </c>
      <c r="U89" s="316">
        <f t="shared" si="164"/>
        <v>16396102.470222224</v>
      </c>
      <c r="V89" s="316">
        <f t="shared" si="164"/>
        <v>16755232.959111115</v>
      </c>
      <c r="W89" s="316">
        <f t="shared" si="164"/>
        <v>17262021.329777781</v>
      </c>
      <c r="X89" s="316">
        <f t="shared" si="164"/>
        <v>17768809.700444445</v>
      </c>
      <c r="Y89" s="316">
        <f t="shared" si="164"/>
        <v>18275598.071111113</v>
      </c>
      <c r="Z89" s="316">
        <f t="shared" si="164"/>
        <v>18782386.441777777</v>
      </c>
      <c r="AA89" s="316">
        <f t="shared" si="164"/>
        <v>19289174.812444445</v>
      </c>
      <c r="AB89" s="316">
        <f t="shared" si="164"/>
        <v>19795963.183111109</v>
      </c>
      <c r="AC89" s="316">
        <f t="shared" si="164"/>
        <v>20302751.553777777</v>
      </c>
      <c r="AD89" s="316">
        <f t="shared" si="164"/>
        <v>20809539.924444444</v>
      </c>
      <c r="AE89" s="316">
        <f t="shared" si="164"/>
        <v>21316328.295111109</v>
      </c>
      <c r="AF89" s="316">
        <f t="shared" si="164"/>
        <v>21823116.665777776</v>
      </c>
      <c r="AG89" s="316">
        <f t="shared" si="164"/>
        <v>22329905.03644444</v>
      </c>
      <c r="AH89" s="316">
        <f t="shared" si="164"/>
        <v>22836693.407111108</v>
      </c>
      <c r="AI89" s="316">
        <f t="shared" ref="AI89" si="165">AI90*AI91</f>
        <v>23343481.77777778</v>
      </c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U89" s="41"/>
    </row>
    <row r="90" spans="1:47" s="43" customFormat="1" hidden="1" outlineLevel="2" x14ac:dyDescent="0.3">
      <c r="A90" s="41"/>
      <c r="B90" s="300">
        <f t="shared" si="163"/>
        <v>45</v>
      </c>
      <c r="C90" s="688" t="str">
        <f t="shared" si="155"/>
        <v>Certificate CO2</v>
      </c>
      <c r="D90" s="689"/>
      <c r="E90" s="689"/>
      <c r="F90" s="689"/>
      <c r="G90" s="690"/>
      <c r="I90" s="315" t="str">
        <f t="shared" si="156"/>
        <v>buc/an</v>
      </c>
      <c r="J90" s="302"/>
      <c r="K90" s="302"/>
      <c r="L90" s="302"/>
      <c r="M90" s="324">
        <v>0</v>
      </c>
      <c r="N90" s="324">
        <v>0</v>
      </c>
      <c r="O90" s="316">
        <f>IF('2.BilantNOPRO'!I84&gt;0,'2.BilantNOPRO'!I84,0)</f>
        <v>34531.777777777781</v>
      </c>
      <c r="P90" s="316">
        <f>IF('2.BilantNOPRO'!J84&gt;0,'2.BilantNOPRO'!J84,0)</f>
        <v>34531.777777777781</v>
      </c>
      <c r="Q90" s="316">
        <f>IF('2.BilantNOPRO'!K84&gt;0,'2.BilantNOPRO'!K84,0)</f>
        <v>34531.777777777781</v>
      </c>
      <c r="R90" s="316">
        <f>IF('2.BilantNOPRO'!L84&gt;0,'2.BilantNOPRO'!L84,0)</f>
        <v>34531.777777777781</v>
      </c>
      <c r="S90" s="316">
        <f>IF('2.BilantNOPRO'!M84&gt;0,'2.BilantNOPRO'!M84,0)</f>
        <v>34531.777777777781</v>
      </c>
      <c r="T90" s="316">
        <f>IF('2.BilantNOPRO'!N84&gt;0,'2.BilantNOPRO'!N84,0)</f>
        <v>34531.777777777781</v>
      </c>
      <c r="U90" s="316">
        <f>IF('2.BilantNOPRO'!O84&gt;0,'2.BilantNOPRO'!O84,0)</f>
        <v>34531.777777777781</v>
      </c>
      <c r="V90" s="316">
        <f>IF('2.BilantNOPRO'!P84&gt;0,'2.BilantNOPRO'!P84,0)</f>
        <v>34531.777777777781</v>
      </c>
      <c r="W90" s="316">
        <f>IF('2.BilantNOPRO'!Q84&gt;0,'2.BilantNOPRO'!Q84,0)</f>
        <v>34531.777777777781</v>
      </c>
      <c r="X90" s="316">
        <f>IF('2.BilantNOPRO'!R84&gt;0,'2.BilantNOPRO'!R84,0)</f>
        <v>34531.777777777781</v>
      </c>
      <c r="Y90" s="316">
        <f>IF('2.BilantNOPRO'!S84&gt;0,'2.BilantNOPRO'!S84,0)</f>
        <v>34531.777777777781</v>
      </c>
      <c r="Z90" s="316">
        <f>IF('2.BilantNOPRO'!T84&gt;0,'2.BilantNOPRO'!T84,0)</f>
        <v>34531.777777777781</v>
      </c>
      <c r="AA90" s="316">
        <f>IF('2.BilantNOPRO'!U84&gt;0,'2.BilantNOPRO'!U84,0)</f>
        <v>34531.777777777781</v>
      </c>
      <c r="AB90" s="316">
        <f>IF('2.BilantNOPRO'!V84&gt;0,'2.BilantNOPRO'!V84,0)</f>
        <v>34531.777777777781</v>
      </c>
      <c r="AC90" s="316">
        <f>IF('2.BilantNOPRO'!W84&gt;0,'2.BilantNOPRO'!W84,0)</f>
        <v>34531.777777777781</v>
      </c>
      <c r="AD90" s="316">
        <f>IF('2.BilantNOPRO'!X84&gt;0,'2.BilantNOPRO'!X84,0)</f>
        <v>34531.777777777781</v>
      </c>
      <c r="AE90" s="316">
        <f>IF('2.BilantNOPRO'!Y84&gt;0,'2.BilantNOPRO'!Y84,0)</f>
        <v>34531.777777777781</v>
      </c>
      <c r="AF90" s="316">
        <f>IF('2.BilantNOPRO'!Z84&gt;0,'2.BilantNOPRO'!Z84,0)</f>
        <v>34531.777777777781</v>
      </c>
      <c r="AG90" s="316">
        <f>IF('2.BilantNOPRO'!AA84&gt;0,'2.BilantNOPRO'!AA84,0)</f>
        <v>34531.777777777781</v>
      </c>
      <c r="AH90" s="316">
        <f>IF('2.BilantNOPRO'!AB84&gt;0,'2.BilantNOPRO'!AB84,0)</f>
        <v>34531.777777777781</v>
      </c>
      <c r="AI90" s="316">
        <f>IF('2.BilantNOPRO'!AC84&gt;0,'2.BilantNOPRO'!AC84,0)</f>
        <v>34531.777777777781</v>
      </c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U90" s="41"/>
    </row>
    <row r="91" spans="1:47" s="43" customFormat="1" hidden="1" outlineLevel="2" x14ac:dyDescent="0.3">
      <c r="A91" s="41"/>
      <c r="B91" s="300">
        <f t="shared" si="163"/>
        <v>46</v>
      </c>
      <c r="C91" s="688" t="str">
        <f t="shared" si="155"/>
        <v>Pret certificat CO2</v>
      </c>
      <c r="D91" s="689"/>
      <c r="E91" s="689"/>
      <c r="F91" s="689"/>
      <c r="G91" s="690"/>
      <c r="I91" s="315" t="str">
        <f t="shared" si="156"/>
        <v>lei/buc</v>
      </c>
      <c r="J91" s="302"/>
      <c r="K91" s="302"/>
      <c r="L91" s="302"/>
      <c r="M91" s="324">
        <v>0</v>
      </c>
      <c r="N91" s="324">
        <v>0</v>
      </c>
      <c r="O91" s="316">
        <f>'1.Input'!O81*'1.Input'!O37</f>
        <v>346.5</v>
      </c>
      <c r="P91" s="316">
        <f>'1.Input'!P81*'1.Input'!P37</f>
        <v>370.55</v>
      </c>
      <c r="Q91" s="316">
        <f>'1.Input'!Q81*'1.Input'!Q37</f>
        <v>421.54859999999996</v>
      </c>
      <c r="R91" s="316">
        <f>'1.Input'!R81*'1.Input'!R37</f>
        <v>436.78720000000004</v>
      </c>
      <c r="S91" s="316">
        <f>'1.Input'!S81*'1.Input'!S37</f>
        <v>452.26580000000001</v>
      </c>
      <c r="T91" s="316">
        <f>'1.Input'!T81*'1.Input'!T37</f>
        <v>464.41200000000003</v>
      </c>
      <c r="U91" s="316">
        <f>'1.Input'!U81*'1.Input'!U37</f>
        <v>474.81200000000001</v>
      </c>
      <c r="V91" s="316">
        <f>'1.Input'!V81*'1.Input'!V37</f>
        <v>485.21200000000005</v>
      </c>
      <c r="W91" s="316">
        <f>'1.Input'!W81*'1.Input'!W37</f>
        <v>499.88800000000003</v>
      </c>
      <c r="X91" s="316">
        <f>'1.Input'!X81*'1.Input'!X37</f>
        <v>514.56399999999996</v>
      </c>
      <c r="Y91" s="316">
        <f>'1.Input'!Y81*'1.Input'!Y37</f>
        <v>529.24</v>
      </c>
      <c r="Z91" s="316">
        <f>'1.Input'!Z81*'1.Input'!Z37</f>
        <v>543.91599999999994</v>
      </c>
      <c r="AA91" s="316">
        <f>'1.Input'!AA81*'1.Input'!AA37</f>
        <v>558.59199999999998</v>
      </c>
      <c r="AB91" s="316">
        <f>'1.Input'!AB81*'1.Input'!AB37</f>
        <v>573.26799999999992</v>
      </c>
      <c r="AC91" s="316">
        <f>'1.Input'!AC81*'1.Input'!AC37</f>
        <v>587.94399999999996</v>
      </c>
      <c r="AD91" s="316">
        <f>'1.Input'!AD81*'1.Input'!AD37</f>
        <v>602.61999999999989</v>
      </c>
      <c r="AE91" s="316">
        <f>'1.Input'!AE81*'1.Input'!AE37</f>
        <v>617.29599999999982</v>
      </c>
      <c r="AF91" s="316">
        <f>'1.Input'!AF81*'1.Input'!AF37</f>
        <v>631.97199999999987</v>
      </c>
      <c r="AG91" s="316">
        <f>'1.Input'!AG81*'1.Input'!AG37</f>
        <v>646.6479999999998</v>
      </c>
      <c r="AH91" s="316">
        <f>'1.Input'!AH81*'1.Input'!AH37</f>
        <v>661.32399999999984</v>
      </c>
      <c r="AI91" s="316">
        <f>'1.Input'!AI81*'1.Input'!AI37</f>
        <v>676</v>
      </c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U91" s="41"/>
    </row>
    <row r="92" spans="1:47" s="43" customFormat="1" hidden="1" outlineLevel="1" x14ac:dyDescent="0.3">
      <c r="A92" s="41"/>
      <c r="B92" s="300">
        <f t="shared" si="163"/>
        <v>47</v>
      </c>
      <c r="C92" s="598" t="str">
        <f t="shared" si="155"/>
        <v>Costuri cu consumul de energie electrica</v>
      </c>
      <c r="D92" s="599"/>
      <c r="E92" s="599"/>
      <c r="F92" s="599"/>
      <c r="G92" s="600"/>
      <c r="I92" s="315" t="str">
        <f t="shared" si="156"/>
        <v>lei/an</v>
      </c>
      <c r="J92" s="302"/>
      <c r="K92" s="302"/>
      <c r="L92" s="302"/>
      <c r="M92" s="316">
        <f>M93*M94</f>
        <v>661958</v>
      </c>
      <c r="N92" s="316">
        <f>N93*N94</f>
        <v>1490949</v>
      </c>
      <c r="O92" s="316">
        <f>O93*O94</f>
        <v>7538257.134474284</v>
      </c>
      <c r="P92" s="316">
        <f t="shared" ref="P92:AH92" si="166">P93*P94</f>
        <v>5909966.2249983028</v>
      </c>
      <c r="Q92" s="316">
        <f t="shared" si="166"/>
        <v>3936755.8631547382</v>
      </c>
      <c r="R92" s="316">
        <f t="shared" si="166"/>
        <v>4366958.4692879962</v>
      </c>
      <c r="S92" s="316">
        <f t="shared" si="166"/>
        <v>4148543.2455718289</v>
      </c>
      <c r="T92" s="316">
        <f t="shared" si="166"/>
        <v>3947029.8289351822</v>
      </c>
      <c r="U92" s="316">
        <f t="shared" si="166"/>
        <v>3742129.0363021595</v>
      </c>
      <c r="V92" s="316">
        <f t="shared" si="166"/>
        <v>3533244.5128072458</v>
      </c>
      <c r="W92" s="316">
        <f t="shared" si="166"/>
        <v>3319649.1849442022</v>
      </c>
      <c r="X92" s="316">
        <f t="shared" si="166"/>
        <v>3308941.233461265</v>
      </c>
      <c r="Y92" s="316">
        <f t="shared" si="166"/>
        <v>3303725.7645017807</v>
      </c>
      <c r="Z92" s="316">
        <f t="shared" si="166"/>
        <v>3296501.5405026753</v>
      </c>
      <c r="AA92" s="316">
        <f t="shared" si="166"/>
        <v>3287250.3234112472</v>
      </c>
      <c r="AB92" s="316">
        <f t="shared" si="166"/>
        <v>3275950.1380994343</v>
      </c>
      <c r="AC92" s="316">
        <f t="shared" si="166"/>
        <v>3329818.9175013793</v>
      </c>
      <c r="AD92" s="316">
        <f t="shared" si="166"/>
        <v>3383079.9771028138</v>
      </c>
      <c r="AE92" s="316">
        <f t="shared" si="166"/>
        <v>3435754.2096330305</v>
      </c>
      <c r="AF92" s="316">
        <f t="shared" si="166"/>
        <v>3487861.9396622647</v>
      </c>
      <c r="AG92" s="316">
        <f t="shared" si="166"/>
        <v>3539422.9375315309</v>
      </c>
      <c r="AH92" s="316">
        <f t="shared" si="166"/>
        <v>3590456.4329603971</v>
      </c>
      <c r="AI92" s="316">
        <f t="shared" ref="AI92" si="167">AI93*AI94</f>
        <v>3640981.128339895</v>
      </c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U92" s="41"/>
    </row>
    <row r="93" spans="1:47" s="43" customFormat="1" hidden="1" outlineLevel="2" x14ac:dyDescent="0.3">
      <c r="A93" s="41"/>
      <c r="B93" s="300">
        <f t="shared" si="163"/>
        <v>48</v>
      </c>
      <c r="C93" s="688" t="str">
        <f t="shared" si="155"/>
        <v>Energie electrica - medie tensiune</v>
      </c>
      <c r="D93" s="689"/>
      <c r="E93" s="689"/>
      <c r="F93" s="689"/>
      <c r="G93" s="690"/>
      <c r="I93" s="315" t="str">
        <f t="shared" si="156"/>
        <v>Mwh/an</v>
      </c>
      <c r="J93" s="302"/>
      <c r="K93" s="302"/>
      <c r="L93" s="302"/>
      <c r="M93" s="316">
        <f>'2.BilantNOPRO'!G49*1000</f>
        <v>710.00000000000091</v>
      </c>
      <c r="N93" s="316">
        <f>M93</f>
        <v>710.00000000000091</v>
      </c>
      <c r="O93" s="316">
        <f>'2.BilantNOPRO'!I49*1000</f>
        <v>8440.268644513435</v>
      </c>
      <c r="P93" s="316">
        <f>'2.BilantNOPRO'!J49*1000</f>
        <v>8314.5276097331225</v>
      </c>
      <c r="Q93" s="316">
        <f>'2.BilantNOPRO'!K49*1000</f>
        <v>8192.3583118049246</v>
      </c>
      <c r="R93" s="316">
        <f>'2.BilantNOPRO'!L49*1000</f>
        <v>8073.6535511619677</v>
      </c>
      <c r="S93" s="316">
        <f>'2.BilantNOPRO'!M49*1000</f>
        <v>7958.3094889337044</v>
      </c>
      <c r="T93" s="316">
        <f>'2.BilantNOPRO'!N49*1000</f>
        <v>7880.3711732938664</v>
      </c>
      <c r="U93" s="316">
        <f>'2.BilantNOPRO'!O49*1000</f>
        <v>7803.8658437961994</v>
      </c>
      <c r="V93" s="316">
        <f>'2.BilantNOPRO'!P49*1000</f>
        <v>7728.7671342461017</v>
      </c>
      <c r="W93" s="316">
        <f>'2.BilantNOPRO'!Q49*1000</f>
        <v>7655.0491639121819</v>
      </c>
      <c r="X93" s="316">
        <f>'2.BilantNOPRO'!R49*1000</f>
        <v>7582.6865285817039</v>
      </c>
      <c r="Y93" s="316">
        <f>'2.BilantNOPRO'!S49*1000</f>
        <v>7528.6159622663608</v>
      </c>
      <c r="Z93" s="316">
        <f>'2.BilantNOPRO'!T49*1000</f>
        <v>7475.5544878948785</v>
      </c>
      <c r="AA93" s="316">
        <f>'2.BilantNOPRO'!U49*1000</f>
        <v>7423.4832732888517</v>
      </c>
      <c r="AB93" s="316">
        <f>'2.BilantNOPRO'!V49*1000</f>
        <v>7372.3838377254151</v>
      </c>
      <c r="AC93" s="316">
        <f>'2.BilantNOPRO'!W49*1000</f>
        <v>7322.238045378178</v>
      </c>
      <c r="AD93" s="316">
        <f>'2.BilantNOPRO'!X49*1000</f>
        <v>7273.0280988806226</v>
      </c>
      <c r="AE93" s="316">
        <f>'2.BilantNOPRO'!Y49*1000</f>
        <v>7224.7365330095763</v>
      </c>
      <c r="AF93" s="316">
        <f>'2.BilantNOPRO'!Z49*1000</f>
        <v>7177.3462084865969</v>
      </c>
      <c r="AG93" s="316">
        <f>'2.BilantNOPRO'!AA49*1000</f>
        <v>7130.8403058950307</v>
      </c>
      <c r="AH93" s="316">
        <f>'2.BilantNOPRO'!AB49*1000</f>
        <v>7085.2023197105818</v>
      </c>
      <c r="AI93" s="316">
        <f>'2.BilantNOPRO'!AC49*1000</f>
        <v>7040.4160524432982</v>
      </c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U93" s="41"/>
    </row>
    <row r="94" spans="1:47" s="43" customFormat="1" ht="14.25" hidden="1" customHeight="1" outlineLevel="2" x14ac:dyDescent="0.3">
      <c r="A94" s="41"/>
      <c r="B94" s="300">
        <f t="shared" si="163"/>
        <v>49</v>
      </c>
      <c r="C94" s="688" t="str">
        <f t="shared" si="155"/>
        <v>Pret achizitie energie electrica - medie tensiune</v>
      </c>
      <c r="D94" s="689"/>
      <c r="E94" s="689"/>
      <c r="F94" s="689"/>
      <c r="G94" s="690"/>
      <c r="I94" s="315" t="str">
        <f t="shared" si="156"/>
        <v>lei/Mwh</v>
      </c>
      <c r="J94" s="302"/>
      <c r="K94" s="302"/>
      <c r="L94" s="302"/>
      <c r="M94" s="324">
        <f>661958/M93</f>
        <v>932.33521126760445</v>
      </c>
      <c r="N94" s="324">
        <f>1490949/N93</f>
        <v>2099.928169014082</v>
      </c>
      <c r="O94" s="316">
        <f>'1.Input'!O75+'1.Input'!O77+'1.Input'!O79</f>
        <v>893.13</v>
      </c>
      <c r="P94" s="316">
        <f>'1.Input'!P75+'1.Input'!P77+'1.Input'!P79</f>
        <v>710.8</v>
      </c>
      <c r="Q94" s="316">
        <f>'1.Input'!Q75+'1.Input'!Q77+'1.Input'!Q79</f>
        <v>480.53999999999996</v>
      </c>
      <c r="R94" s="316">
        <f>'1.Input'!R75+'1.Input'!R77+'1.Input'!R79</f>
        <v>540.89</v>
      </c>
      <c r="S94" s="316">
        <f>'1.Input'!S75+'1.Input'!S77+'1.Input'!S79</f>
        <v>521.2844827586207</v>
      </c>
      <c r="T94" s="316">
        <f>'1.Input'!T75+'1.Input'!T77+'1.Input'!T79</f>
        <v>500.86851775604731</v>
      </c>
      <c r="U94" s="316">
        <f>'1.Input'!U75+'1.Input'!U77+'1.Input'!U79</f>
        <v>479.52247145266102</v>
      </c>
      <c r="V94" s="316">
        <f>'1.Input'!V75+'1.Input'!V77+'1.Input'!V79</f>
        <v>457.15499657784608</v>
      </c>
      <c r="W94" s="316">
        <f>'1.Input'!W75+'1.Input'!W77+'1.Input'!W79</f>
        <v>433.65484843570431</v>
      </c>
      <c r="X94" s="316">
        <f>'1.Input'!X75+'1.Input'!X77+'1.Input'!X79</f>
        <v>436.38111914408557</v>
      </c>
      <c r="Y94" s="316">
        <f>'1.Input'!Y75+'1.Input'!Y77+'1.Input'!Y79</f>
        <v>438.82245834561746</v>
      </c>
      <c r="Z94" s="316">
        <f>'1.Input'!Z75+'1.Input'!Z77+'1.Input'!Z79</f>
        <v>440.97083980067043</v>
      </c>
      <c r="AA94" s="316">
        <f>'1.Input'!AA75+'1.Input'!AA77+'1.Input'!AA79</f>
        <v>442.8177719803611</v>
      </c>
      <c r="AB94" s="316">
        <f>'1.Input'!AB75+'1.Input'!AB77+'1.Input'!AB79</f>
        <v>444.35425639885779</v>
      </c>
      <c r="AC94" s="316">
        <f>'1.Input'!AC75+'1.Input'!AC77+'1.Input'!AC79</f>
        <v>454.75425639885776</v>
      </c>
      <c r="AD94" s="316">
        <f>'1.Input'!AD75+'1.Input'!AD77+'1.Input'!AD79</f>
        <v>465.15425639885774</v>
      </c>
      <c r="AE94" s="316">
        <f>'1.Input'!AE75+'1.Input'!AE77+'1.Input'!AE79</f>
        <v>475.55425639885772</v>
      </c>
      <c r="AF94" s="316">
        <f>'1.Input'!AF75+'1.Input'!AF77+'1.Input'!AF79</f>
        <v>485.95425639885769</v>
      </c>
      <c r="AG94" s="316">
        <f>'1.Input'!AG75+'1.Input'!AG77+'1.Input'!AG79</f>
        <v>496.35425639885767</v>
      </c>
      <c r="AH94" s="316">
        <f>'1.Input'!AH75+'1.Input'!AH77+'1.Input'!AH79</f>
        <v>506.75425639885765</v>
      </c>
      <c r="AI94" s="316">
        <f>'1.Input'!AI75+'1.Input'!AI77+'1.Input'!AI79</f>
        <v>517.15425639885768</v>
      </c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U94" s="41"/>
    </row>
    <row r="95" spans="1:47" s="43" customFormat="1" ht="14.25" hidden="1" customHeight="1" outlineLevel="1" x14ac:dyDescent="0.3">
      <c r="A95" s="41"/>
      <c r="B95" s="300">
        <f t="shared" si="163"/>
        <v>50</v>
      </c>
      <c r="C95" s="598" t="str">
        <f t="shared" si="155"/>
        <v xml:space="preserve">Costuri cu mentenanta si reparatiile activelor </v>
      </c>
      <c r="D95" s="599"/>
      <c r="E95" s="599"/>
      <c r="F95" s="599"/>
      <c r="G95" s="600"/>
      <c r="I95" s="315" t="str">
        <f t="shared" si="156"/>
        <v>lei/an</v>
      </c>
      <c r="J95" s="302"/>
      <c r="K95" s="322">
        <v>1</v>
      </c>
      <c r="L95" s="302"/>
      <c r="M95" s="324">
        <v>2596905</v>
      </c>
      <c r="N95" s="324">
        <f>1368427*2</f>
        <v>2736854</v>
      </c>
      <c r="O95" s="316">
        <f>N95*$K$95</f>
        <v>2736854</v>
      </c>
      <c r="P95" s="316">
        <f>O95*$K$95</f>
        <v>2736854</v>
      </c>
      <c r="Q95" s="316">
        <f t="shared" ref="Q95:AI95" si="168">P95*$K$95</f>
        <v>2736854</v>
      </c>
      <c r="R95" s="316">
        <f t="shared" si="168"/>
        <v>2736854</v>
      </c>
      <c r="S95" s="316">
        <f t="shared" si="168"/>
        <v>2736854</v>
      </c>
      <c r="T95" s="316">
        <f t="shared" si="168"/>
        <v>2736854</v>
      </c>
      <c r="U95" s="316">
        <f t="shared" si="168"/>
        <v>2736854</v>
      </c>
      <c r="V95" s="316">
        <f t="shared" si="168"/>
        <v>2736854</v>
      </c>
      <c r="W95" s="316">
        <f t="shared" si="168"/>
        <v>2736854</v>
      </c>
      <c r="X95" s="316">
        <f t="shared" si="168"/>
        <v>2736854</v>
      </c>
      <c r="Y95" s="316">
        <f t="shared" si="168"/>
        <v>2736854</v>
      </c>
      <c r="Z95" s="316">
        <f t="shared" si="168"/>
        <v>2736854</v>
      </c>
      <c r="AA95" s="316">
        <f t="shared" si="168"/>
        <v>2736854</v>
      </c>
      <c r="AB95" s="316">
        <f t="shared" si="168"/>
        <v>2736854</v>
      </c>
      <c r="AC95" s="316">
        <f t="shared" si="168"/>
        <v>2736854</v>
      </c>
      <c r="AD95" s="316">
        <f t="shared" si="168"/>
        <v>2736854</v>
      </c>
      <c r="AE95" s="316">
        <f t="shared" si="168"/>
        <v>2736854</v>
      </c>
      <c r="AF95" s="316">
        <f t="shared" si="168"/>
        <v>2736854</v>
      </c>
      <c r="AG95" s="316">
        <f t="shared" si="168"/>
        <v>2736854</v>
      </c>
      <c r="AH95" s="316">
        <f t="shared" si="168"/>
        <v>2736854</v>
      </c>
      <c r="AI95" s="316">
        <f t="shared" si="168"/>
        <v>2736854</v>
      </c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U95" s="41"/>
    </row>
    <row r="96" spans="1:47" s="43" customFormat="1" ht="18" hidden="1" customHeight="1" outlineLevel="1" x14ac:dyDescent="0.3">
      <c r="A96" s="41"/>
      <c r="B96" s="300">
        <f t="shared" si="163"/>
        <v>51</v>
      </c>
      <c r="C96" s="598" t="str">
        <f t="shared" si="155"/>
        <v xml:space="preserve">Costuri cu amortizarea </v>
      </c>
      <c r="D96" s="599"/>
      <c r="E96" s="599"/>
      <c r="F96" s="599"/>
      <c r="G96" s="600"/>
      <c r="I96" s="315" t="str">
        <f t="shared" si="156"/>
        <v>lei/an</v>
      </c>
      <c r="J96" s="302"/>
      <c r="K96" s="302"/>
      <c r="L96" s="302"/>
      <c r="M96" s="324">
        <v>16571783.869999999</v>
      </c>
      <c r="N96" s="324">
        <f>8222000*2</f>
        <v>16444000</v>
      </c>
      <c r="O96" s="316">
        <f t="shared" ref="O96:P98" si="169">N96</f>
        <v>16444000</v>
      </c>
      <c r="P96" s="316">
        <f t="shared" si="169"/>
        <v>16444000</v>
      </c>
      <c r="Q96" s="316">
        <f t="shared" ref="Q96:AI97" si="170">P96</f>
        <v>16444000</v>
      </c>
      <c r="R96" s="316">
        <f t="shared" si="170"/>
        <v>16444000</v>
      </c>
      <c r="S96" s="316">
        <f t="shared" si="170"/>
        <v>16444000</v>
      </c>
      <c r="T96" s="316">
        <f t="shared" si="170"/>
        <v>16444000</v>
      </c>
      <c r="U96" s="316">
        <f t="shared" si="170"/>
        <v>16444000</v>
      </c>
      <c r="V96" s="316">
        <f t="shared" si="170"/>
        <v>16444000</v>
      </c>
      <c r="W96" s="316">
        <f t="shared" si="170"/>
        <v>16444000</v>
      </c>
      <c r="X96" s="316">
        <f t="shared" si="170"/>
        <v>16444000</v>
      </c>
      <c r="Y96" s="316">
        <f t="shared" si="170"/>
        <v>16444000</v>
      </c>
      <c r="Z96" s="316">
        <f t="shared" si="170"/>
        <v>16444000</v>
      </c>
      <c r="AA96" s="316">
        <f t="shared" si="170"/>
        <v>16444000</v>
      </c>
      <c r="AB96" s="316">
        <f t="shared" si="170"/>
        <v>16444000</v>
      </c>
      <c r="AC96" s="316">
        <f t="shared" si="170"/>
        <v>16444000</v>
      </c>
      <c r="AD96" s="316">
        <f t="shared" si="170"/>
        <v>16444000</v>
      </c>
      <c r="AE96" s="316">
        <f t="shared" si="170"/>
        <v>16444000</v>
      </c>
      <c r="AF96" s="316">
        <f t="shared" si="170"/>
        <v>16444000</v>
      </c>
      <c r="AG96" s="316">
        <f t="shared" si="170"/>
        <v>16444000</v>
      </c>
      <c r="AH96" s="316">
        <f t="shared" si="170"/>
        <v>16444000</v>
      </c>
      <c r="AI96" s="316">
        <f t="shared" si="170"/>
        <v>16444000</v>
      </c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U96" s="41"/>
    </row>
    <row r="97" spans="1:47" s="43" customFormat="1" ht="14.25" hidden="1" customHeight="1" outlineLevel="1" x14ac:dyDescent="0.3">
      <c r="A97" s="41"/>
      <c r="B97" s="300">
        <f t="shared" si="163"/>
        <v>52</v>
      </c>
      <c r="C97" s="598" t="str">
        <f t="shared" si="155"/>
        <v>Costuri cu redeventa</v>
      </c>
      <c r="D97" s="599"/>
      <c r="E97" s="599"/>
      <c r="F97" s="599"/>
      <c r="G97" s="600"/>
      <c r="I97" s="315" t="str">
        <f t="shared" si="156"/>
        <v>lei/an</v>
      </c>
      <c r="J97" s="302"/>
      <c r="K97" s="302"/>
      <c r="L97" s="302"/>
      <c r="M97" s="324">
        <v>0</v>
      </c>
      <c r="N97" s="324">
        <v>0</v>
      </c>
      <c r="O97" s="316">
        <f t="shared" si="169"/>
        <v>0</v>
      </c>
      <c r="P97" s="316">
        <f t="shared" si="169"/>
        <v>0</v>
      </c>
      <c r="Q97" s="316">
        <f t="shared" si="170"/>
        <v>0</v>
      </c>
      <c r="R97" s="316">
        <f t="shared" si="170"/>
        <v>0</v>
      </c>
      <c r="S97" s="316">
        <f t="shared" si="170"/>
        <v>0</v>
      </c>
      <c r="T97" s="316">
        <f t="shared" si="170"/>
        <v>0</v>
      </c>
      <c r="U97" s="316">
        <f t="shared" si="170"/>
        <v>0</v>
      </c>
      <c r="V97" s="316">
        <f t="shared" si="170"/>
        <v>0</v>
      </c>
      <c r="W97" s="316">
        <f t="shared" si="170"/>
        <v>0</v>
      </c>
      <c r="X97" s="316">
        <f t="shared" si="170"/>
        <v>0</v>
      </c>
      <c r="Y97" s="316">
        <f t="shared" si="170"/>
        <v>0</v>
      </c>
      <c r="Z97" s="316">
        <f t="shared" si="170"/>
        <v>0</v>
      </c>
      <c r="AA97" s="316">
        <f t="shared" si="170"/>
        <v>0</v>
      </c>
      <c r="AB97" s="316">
        <f t="shared" si="170"/>
        <v>0</v>
      </c>
      <c r="AC97" s="316">
        <f t="shared" si="170"/>
        <v>0</v>
      </c>
      <c r="AD97" s="316">
        <f t="shared" si="170"/>
        <v>0</v>
      </c>
      <c r="AE97" s="316">
        <f t="shared" si="170"/>
        <v>0</v>
      </c>
      <c r="AF97" s="316">
        <f t="shared" si="170"/>
        <v>0</v>
      </c>
      <c r="AG97" s="316">
        <f t="shared" si="170"/>
        <v>0</v>
      </c>
      <c r="AH97" s="316">
        <f t="shared" si="170"/>
        <v>0</v>
      </c>
      <c r="AI97" s="316">
        <f t="shared" si="170"/>
        <v>0</v>
      </c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U97" s="41"/>
    </row>
    <row r="98" spans="1:47" s="43" customFormat="1" ht="14.25" hidden="1" customHeight="1" outlineLevel="1" x14ac:dyDescent="0.3">
      <c r="A98" s="41"/>
      <c r="B98" s="300">
        <f t="shared" si="163"/>
        <v>53</v>
      </c>
      <c r="C98" s="598" t="str">
        <f t="shared" si="155"/>
        <v>Alte costuri</v>
      </c>
      <c r="D98" s="599"/>
      <c r="E98" s="599"/>
      <c r="F98" s="599"/>
      <c r="G98" s="600"/>
      <c r="I98" s="315" t="str">
        <f t="shared" si="156"/>
        <v>lei/an</v>
      </c>
      <c r="J98" s="302"/>
      <c r="K98" s="302"/>
      <c r="L98" s="302"/>
      <c r="M98" s="324">
        <f>11730+3960+1424895+259010+138675+9600029</f>
        <v>11438299</v>
      </c>
      <c r="N98" s="316">
        <f>M98</f>
        <v>11438299</v>
      </c>
      <c r="O98" s="316">
        <f t="shared" si="169"/>
        <v>11438299</v>
      </c>
      <c r="P98" s="316">
        <f t="shared" si="169"/>
        <v>11438299</v>
      </c>
      <c r="Q98" s="316">
        <f t="shared" ref="Q98:AI98" si="171">P98</f>
        <v>11438299</v>
      </c>
      <c r="R98" s="316">
        <f t="shared" si="171"/>
        <v>11438299</v>
      </c>
      <c r="S98" s="316">
        <f t="shared" si="171"/>
        <v>11438299</v>
      </c>
      <c r="T98" s="316">
        <f t="shared" si="171"/>
        <v>11438299</v>
      </c>
      <c r="U98" s="316">
        <f t="shared" si="171"/>
        <v>11438299</v>
      </c>
      <c r="V98" s="316">
        <f t="shared" si="171"/>
        <v>11438299</v>
      </c>
      <c r="W98" s="316">
        <f t="shared" si="171"/>
        <v>11438299</v>
      </c>
      <c r="X98" s="316">
        <f t="shared" si="171"/>
        <v>11438299</v>
      </c>
      <c r="Y98" s="316">
        <f t="shared" si="171"/>
        <v>11438299</v>
      </c>
      <c r="Z98" s="316">
        <f t="shared" si="171"/>
        <v>11438299</v>
      </c>
      <c r="AA98" s="316">
        <f t="shared" si="171"/>
        <v>11438299</v>
      </c>
      <c r="AB98" s="316">
        <f t="shared" si="171"/>
        <v>11438299</v>
      </c>
      <c r="AC98" s="316">
        <f t="shared" si="171"/>
        <v>11438299</v>
      </c>
      <c r="AD98" s="316">
        <f t="shared" si="171"/>
        <v>11438299</v>
      </c>
      <c r="AE98" s="316">
        <f t="shared" si="171"/>
        <v>11438299</v>
      </c>
      <c r="AF98" s="316">
        <f t="shared" si="171"/>
        <v>11438299</v>
      </c>
      <c r="AG98" s="316">
        <f t="shared" si="171"/>
        <v>11438299</v>
      </c>
      <c r="AH98" s="316">
        <f t="shared" si="171"/>
        <v>11438299</v>
      </c>
      <c r="AI98" s="316">
        <f t="shared" si="171"/>
        <v>11438299</v>
      </c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U98" s="41"/>
    </row>
    <row r="99" spans="1:47" ht="24.75" hidden="1" customHeight="1" outlineLevel="1" x14ac:dyDescent="0.3">
      <c r="A99" s="41"/>
      <c r="B99" s="300">
        <f t="shared" si="163"/>
        <v>54</v>
      </c>
      <c r="C99" s="679" t="s">
        <v>364</v>
      </c>
      <c r="D99" s="680"/>
      <c r="E99" s="680"/>
      <c r="F99" s="680"/>
      <c r="G99" s="681"/>
      <c r="H99" s="317"/>
      <c r="I99" s="313" t="s">
        <v>407</v>
      </c>
      <c r="J99" s="302"/>
      <c r="K99" s="302"/>
      <c r="L99" s="302"/>
      <c r="M99" s="321" t="e">
        <f>SUM(M79,M82,M87,M88,M89,M92,M95,M96,M97,M98)/1000</f>
        <v>#REF!</v>
      </c>
      <c r="N99" s="321" t="e">
        <f t="shared" ref="N99:AH99" si="172">SUM(N79,N82,N87,N88,N89,N92,N95,N96,N97,N98)/1000</f>
        <v>#REF!</v>
      </c>
      <c r="O99" s="321" t="e">
        <f t="shared" si="172"/>
        <v>#REF!</v>
      </c>
      <c r="P99" s="321" t="e">
        <f t="shared" si="172"/>
        <v>#REF!</v>
      </c>
      <c r="Q99" s="321" t="e">
        <f t="shared" si="172"/>
        <v>#REF!</v>
      </c>
      <c r="R99" s="321" t="e">
        <f t="shared" si="172"/>
        <v>#REF!</v>
      </c>
      <c r="S99" s="321" t="e">
        <f t="shared" si="172"/>
        <v>#REF!</v>
      </c>
      <c r="T99" s="321" t="e">
        <f t="shared" si="172"/>
        <v>#REF!</v>
      </c>
      <c r="U99" s="321" t="e">
        <f t="shared" si="172"/>
        <v>#REF!</v>
      </c>
      <c r="V99" s="321" t="e">
        <f t="shared" si="172"/>
        <v>#REF!</v>
      </c>
      <c r="W99" s="321" t="e">
        <f t="shared" si="172"/>
        <v>#REF!</v>
      </c>
      <c r="X99" s="321" t="e">
        <f t="shared" si="172"/>
        <v>#REF!</v>
      </c>
      <c r="Y99" s="321" t="e">
        <f t="shared" si="172"/>
        <v>#REF!</v>
      </c>
      <c r="Z99" s="321" t="e">
        <f t="shared" si="172"/>
        <v>#REF!</v>
      </c>
      <c r="AA99" s="321" t="e">
        <f t="shared" si="172"/>
        <v>#REF!</v>
      </c>
      <c r="AB99" s="321" t="e">
        <f t="shared" si="172"/>
        <v>#REF!</v>
      </c>
      <c r="AC99" s="321" t="e">
        <f t="shared" si="172"/>
        <v>#REF!</v>
      </c>
      <c r="AD99" s="321" t="e">
        <f t="shared" si="172"/>
        <v>#REF!</v>
      </c>
      <c r="AE99" s="321" t="e">
        <f t="shared" si="172"/>
        <v>#REF!</v>
      </c>
      <c r="AF99" s="321" t="e">
        <f t="shared" si="172"/>
        <v>#REF!</v>
      </c>
      <c r="AG99" s="321" t="e">
        <f t="shared" si="172"/>
        <v>#REF!</v>
      </c>
      <c r="AH99" s="321" t="e">
        <f t="shared" si="172"/>
        <v>#REF!</v>
      </c>
      <c r="AI99" s="321" t="e">
        <f t="shared" ref="AI99" si="173">SUM(AI79,AI82,AI87,AI88,AI89,AI92,AI95,AI96,AI97,AI98)/1000</f>
        <v>#REF!</v>
      </c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43"/>
      <c r="AU99" s="41"/>
    </row>
    <row r="100" spans="1:47" collapsed="1" x14ac:dyDescent="0.3">
      <c r="A100" s="41"/>
      <c r="B100" s="300">
        <f>B73+1</f>
        <v>34</v>
      </c>
      <c r="C100" s="605" t="s">
        <v>636</v>
      </c>
      <c r="D100" s="606"/>
      <c r="E100" s="606"/>
      <c r="F100" s="606"/>
      <c r="G100" s="607"/>
      <c r="H100" s="43"/>
      <c r="I100" s="315" t="s">
        <v>59</v>
      </c>
      <c r="J100" s="302"/>
      <c r="K100" s="302"/>
      <c r="L100" s="302"/>
      <c r="M100" s="359">
        <f t="shared" ref="M100:O102" si="174">M32</f>
        <v>46770186</v>
      </c>
      <c r="N100" s="359">
        <f t="shared" si="174"/>
        <v>137306648.90000001</v>
      </c>
      <c r="O100" s="359">
        <f t="shared" si="174"/>
        <v>136807547</v>
      </c>
      <c r="P100" s="359">
        <f>$O$100/$O$101*'2.BilantNOPRO'!J56</f>
        <v>132139884.46464302</v>
      </c>
      <c r="Q100" s="359">
        <f>$O$100/$O$101*'2.BilantNOPRO'!K56</f>
        <v>129766781.38575299</v>
      </c>
      <c r="R100" s="359">
        <f>$O$100/$O$101*'2.BilantNOPRO'!L56</f>
        <v>127460975.93595602</v>
      </c>
      <c r="S100" s="359">
        <f>$O$100/$O$101*'2.BilantNOPRO'!M56</f>
        <v>125220451.07539366</v>
      </c>
      <c r="T100" s="359">
        <f>$O$100/$O$101*'2.BilantNOPRO'!N56</f>
        <v>123706521.96271999</v>
      </c>
      <c r="U100" s="359">
        <f>$O$100/$O$101*'2.BilantNOPRO'!O56</f>
        <v>122220428.18906894</v>
      </c>
      <c r="V100" s="359">
        <f>$O$100/$O$101*'2.BilantNOPRO'!P56</f>
        <v>120761657.59877914</v>
      </c>
      <c r="W100" s="359">
        <f>$O$100/$O$101*'2.BilantNOPRO'!Q56</f>
        <v>119329707.46617079</v>
      </c>
      <c r="X100" s="359">
        <f>$O$100/$O$101*'2.BilantNOPRO'!R56</f>
        <v>117924084.32180038</v>
      </c>
      <c r="Y100" s="359">
        <f>$O$100/$O$101*'2.BilantNOPRO'!S56</f>
        <v>116873779.29773711</v>
      </c>
      <c r="Z100" s="359">
        <f>$O$100/$O$101*'2.BilantNOPRO'!T56</f>
        <v>115843075.59118544</v>
      </c>
      <c r="AA100" s="359">
        <f>$O$100/$O$101*'2.BilantNOPRO'!U56</f>
        <v>114831607.39255723</v>
      </c>
      <c r="AB100" s="359">
        <f>$O$100/$O$101*'2.BilantNOPRO'!V56</f>
        <v>113839015.71918605</v>
      </c>
      <c r="AC100" s="359">
        <f>$O$100/$O$101*'2.BilantNOPRO'!W56</f>
        <v>112864948.28791909</v>
      </c>
      <c r="AD100" s="359">
        <f>$O$100/$O$101*'2.BilantNOPRO'!X56</f>
        <v>111909059.39008811</v>
      </c>
      <c r="AE100" s="359">
        <f>$O$100/$O$101*'2.BilantNOPRO'!Y56</f>
        <v>110971009.76881291</v>
      </c>
      <c r="AF100" s="359">
        <f>$O$100/$O$101*'2.BilantNOPRO'!Z56</f>
        <v>110050466.49859481</v>
      </c>
      <c r="AG100" s="359">
        <f>$O$100/$O$101*'2.BilantNOPRO'!AA56</f>
        <v>109147102.8671571</v>
      </c>
      <c r="AH100" s="359">
        <f>$O$100/$O$101*'2.BilantNOPRO'!AB56</f>
        <v>108260598.25949113</v>
      </c>
      <c r="AI100" s="359">
        <f>$O$100/$O$101*'2.BilantNOPRO'!AC56</f>
        <v>107390638.04406574</v>
      </c>
      <c r="AJ100" s="359">
        <f>$O$100/$O$101*'2.BilantNOPRO'!AD56</f>
        <v>106933183.47854395</v>
      </c>
      <c r="AK100" s="359">
        <f>$O$100/$O$101*'2.BilantNOPRO'!AE56</f>
        <v>106480303.4586774</v>
      </c>
      <c r="AL100" s="359">
        <f>$O$100/$O$101*'2.BilantNOPRO'!AF56</f>
        <v>106031952.23900951</v>
      </c>
      <c r="AM100" s="359">
        <f>$O$100/$O$101*'2.BilantNOPRO'!AG56</f>
        <v>105588084.53153826</v>
      </c>
      <c r="AN100" s="359">
        <f>$O$100/$O$101*'2.BilantNOPRO'!AH56</f>
        <v>105148655.50114173</v>
      </c>
      <c r="AO100" s="359">
        <f>$O$100/$O$101*'2.BilantNOPRO'!AI56</f>
        <v>104713620.76104918</v>
      </c>
      <c r="AP100" s="359">
        <f>$O$100/$O$101*'2.BilantNOPRO'!AJ56</f>
        <v>104282936.36835757</v>
      </c>
      <c r="AQ100" s="359">
        <f>$O$100/$O$101*'2.BilantNOPRO'!AK56</f>
        <v>103856558.81959289</v>
      </c>
      <c r="AR100" s="359">
        <f>$O$100/$O$101*'2.BilantNOPRO'!AL56</f>
        <v>103434445.04631582</v>
      </c>
      <c r="AS100" s="359">
        <f>$O$100/$O$101*'2.BilantNOPRO'!AM56</f>
        <v>103016552.41077153</v>
      </c>
      <c r="AT100" s="43"/>
      <c r="AU100" s="41"/>
    </row>
    <row r="101" spans="1:47" x14ac:dyDescent="0.3">
      <c r="A101" s="41"/>
      <c r="B101" s="300">
        <f>B100+1</f>
        <v>35</v>
      </c>
      <c r="C101" s="605" t="s">
        <v>637</v>
      </c>
      <c r="D101" s="606"/>
      <c r="E101" s="606"/>
      <c r="F101" s="606"/>
      <c r="G101" s="607"/>
      <c r="H101" s="43"/>
      <c r="I101" s="315" t="s">
        <v>34</v>
      </c>
      <c r="J101" s="302"/>
      <c r="K101" s="302"/>
      <c r="L101" s="302"/>
      <c r="M101" s="359">
        <f t="shared" si="174"/>
        <v>151387.00399999999</v>
      </c>
      <c r="N101" s="359">
        <f t="shared" si="174"/>
        <v>215013.16699999999</v>
      </c>
      <c r="O101" s="359">
        <f t="shared" si="174"/>
        <v>179247.09099999999</v>
      </c>
      <c r="P101" s="359">
        <f>'2.BilantNOPRO'!J56</f>
        <v>173131.45666856633</v>
      </c>
      <c r="Q101" s="359">
        <f>'2.BilantNOPRO'!K56</f>
        <v>170022.18504677355</v>
      </c>
      <c r="R101" s="359">
        <f>'2.BilantNOPRO'!L56</f>
        <v>167001.08768517803</v>
      </c>
      <c r="S101" s="359">
        <f>'2.BilantNOPRO'!M56</f>
        <v>164065.52183098593</v>
      </c>
      <c r="T101" s="359">
        <f>'2.BilantNOPRO'!N56</f>
        <v>162081.95151357524</v>
      </c>
      <c r="U101" s="359">
        <f>'2.BilantNOPRO'!O56</f>
        <v>160134.85143231903</v>
      </c>
      <c r="V101" s="359">
        <f>'2.BilantNOPRO'!P56</f>
        <v>158223.55055397056</v>
      </c>
      <c r="W101" s="359">
        <f>'2.BilantNOPRO'!Q56</f>
        <v>156347.390200572</v>
      </c>
      <c r="X101" s="359">
        <f>'2.BilantNOPRO'!R56</f>
        <v>154505.72382181097</v>
      </c>
      <c r="Y101" s="359">
        <f>'2.BilantNOPRO'!S56</f>
        <v>153129.60003073074</v>
      </c>
      <c r="Z101" s="359">
        <f>'2.BilantNOPRO'!T56</f>
        <v>151779.15814990157</v>
      </c>
      <c r="AA101" s="359">
        <f>'2.BilantNOPRO'!U56</f>
        <v>150453.91889067332</v>
      </c>
      <c r="AB101" s="359">
        <f>'2.BilantNOPRO'!V56</f>
        <v>149153.41190912056</v>
      </c>
      <c r="AC101" s="359">
        <f>'2.BilantNOPRO'!W56</f>
        <v>147877.17563911094</v>
      </c>
      <c r="AD101" s="359">
        <f>'2.BilantNOPRO'!X56</f>
        <v>146624.75712849034</v>
      </c>
      <c r="AE101" s="359">
        <f>'2.BilantNOPRO'!Y56</f>
        <v>145395.71187832419</v>
      </c>
      <c r="AF101" s="359">
        <f>'2.BilantNOPRO'!Z56</f>
        <v>144189.60368513933</v>
      </c>
      <c r="AG101" s="359">
        <f>'2.BilantNOPRO'!AA56</f>
        <v>143006.00448610974</v>
      </c>
      <c r="AH101" s="359">
        <f>'2.BilantNOPRO'!AB56</f>
        <v>141844.49420713205</v>
      </c>
      <c r="AI101" s="359">
        <f>'2.BilantNOPRO'!AC56</f>
        <v>140704.66061373582</v>
      </c>
      <c r="AJ101" s="359">
        <f>'2.BilantNOPRO'!AD56</f>
        <v>140105.29747966508</v>
      </c>
      <c r="AK101" s="359">
        <f>'2.BilantNOPRO'!AE56</f>
        <v>139511.92797693508</v>
      </c>
      <c r="AL101" s="359">
        <f>'2.BilantNOPRO'!AF56</f>
        <v>138924.49216923237</v>
      </c>
      <c r="AM101" s="359">
        <f>'2.BilantNOPRO'!AG56</f>
        <v>138342.93071960664</v>
      </c>
      <c r="AN101" s="359">
        <f>'2.BilantNOPRO'!AH56</f>
        <v>137767.18488447717</v>
      </c>
      <c r="AO101" s="359">
        <f>'2.BilantNOPRO'!AI56</f>
        <v>137197.19650769903</v>
      </c>
      <c r="AP101" s="359">
        <f>'2.BilantNOPRO'!AJ56</f>
        <v>136632.90801468867</v>
      </c>
      <c r="AQ101" s="359">
        <f>'2.BilantNOPRO'!AK56</f>
        <v>136074.26240660844</v>
      </c>
      <c r="AR101" s="359">
        <f>'2.BilantNOPRO'!AL56</f>
        <v>135521.20325460896</v>
      </c>
      <c r="AS101" s="359">
        <f>'2.BilantNOPRO'!AM56</f>
        <v>134973.6746941295</v>
      </c>
      <c r="AT101" s="43"/>
      <c r="AU101" s="41"/>
    </row>
    <row r="102" spans="1:47" x14ac:dyDescent="0.3">
      <c r="A102" s="41"/>
      <c r="B102" s="300">
        <f t="shared" ref="B102:B106" si="175">B101+1</f>
        <v>36</v>
      </c>
      <c r="C102" s="605" t="s">
        <v>638</v>
      </c>
      <c r="D102" s="606"/>
      <c r="E102" s="606"/>
      <c r="F102" s="606"/>
      <c r="G102" s="607"/>
      <c r="H102" s="43"/>
      <c r="I102" s="315" t="s">
        <v>15</v>
      </c>
      <c r="J102" s="302"/>
      <c r="K102" s="302"/>
      <c r="L102" s="302"/>
      <c r="M102" s="573">
        <f t="shared" si="174"/>
        <v>0.4143</v>
      </c>
      <c r="N102" s="573">
        <f t="shared" si="174"/>
        <v>0.4002</v>
      </c>
      <c r="O102" s="573">
        <f t="shared" si="174"/>
        <v>0.40200000000000002</v>
      </c>
      <c r="P102" s="573">
        <f>O102</f>
        <v>0.40200000000000002</v>
      </c>
      <c r="Q102" s="573">
        <f t="shared" ref="Q102:AI102" si="176">P102</f>
        <v>0.40200000000000002</v>
      </c>
      <c r="R102" s="573">
        <f t="shared" si="176"/>
        <v>0.40200000000000002</v>
      </c>
      <c r="S102" s="573">
        <f t="shared" si="176"/>
        <v>0.40200000000000002</v>
      </c>
      <c r="T102" s="573">
        <f t="shared" si="176"/>
        <v>0.40200000000000002</v>
      </c>
      <c r="U102" s="573">
        <f t="shared" si="176"/>
        <v>0.40200000000000002</v>
      </c>
      <c r="V102" s="573">
        <f t="shared" si="176"/>
        <v>0.40200000000000002</v>
      </c>
      <c r="W102" s="573">
        <f t="shared" si="176"/>
        <v>0.40200000000000002</v>
      </c>
      <c r="X102" s="573">
        <f t="shared" si="176"/>
        <v>0.40200000000000002</v>
      </c>
      <c r="Y102" s="573">
        <f t="shared" si="176"/>
        <v>0.40200000000000002</v>
      </c>
      <c r="Z102" s="573">
        <f t="shared" si="176"/>
        <v>0.40200000000000002</v>
      </c>
      <c r="AA102" s="573">
        <f t="shared" si="176"/>
        <v>0.40200000000000002</v>
      </c>
      <c r="AB102" s="573">
        <f t="shared" si="176"/>
        <v>0.40200000000000002</v>
      </c>
      <c r="AC102" s="573">
        <f t="shared" si="176"/>
        <v>0.40200000000000002</v>
      </c>
      <c r="AD102" s="573">
        <f t="shared" si="176"/>
        <v>0.40200000000000002</v>
      </c>
      <c r="AE102" s="573">
        <f t="shared" si="176"/>
        <v>0.40200000000000002</v>
      </c>
      <c r="AF102" s="573">
        <f t="shared" si="176"/>
        <v>0.40200000000000002</v>
      </c>
      <c r="AG102" s="573">
        <f t="shared" si="176"/>
        <v>0.40200000000000002</v>
      </c>
      <c r="AH102" s="573">
        <f t="shared" si="176"/>
        <v>0.40200000000000002</v>
      </c>
      <c r="AI102" s="573">
        <f t="shared" si="176"/>
        <v>0.40200000000000002</v>
      </c>
      <c r="AJ102" s="573">
        <f t="shared" ref="AJ102:AS102" si="177">AI102</f>
        <v>0.40200000000000002</v>
      </c>
      <c r="AK102" s="573">
        <f t="shared" si="177"/>
        <v>0.40200000000000002</v>
      </c>
      <c r="AL102" s="573">
        <f t="shared" si="177"/>
        <v>0.40200000000000002</v>
      </c>
      <c r="AM102" s="573">
        <f t="shared" si="177"/>
        <v>0.40200000000000002</v>
      </c>
      <c r="AN102" s="573">
        <f t="shared" si="177"/>
        <v>0.40200000000000002</v>
      </c>
      <c r="AO102" s="573">
        <f t="shared" si="177"/>
        <v>0.40200000000000002</v>
      </c>
      <c r="AP102" s="573">
        <f t="shared" si="177"/>
        <v>0.40200000000000002</v>
      </c>
      <c r="AQ102" s="573">
        <f t="shared" si="177"/>
        <v>0.40200000000000002</v>
      </c>
      <c r="AR102" s="573">
        <f t="shared" si="177"/>
        <v>0.40200000000000002</v>
      </c>
      <c r="AS102" s="573">
        <f t="shared" si="177"/>
        <v>0.40200000000000002</v>
      </c>
      <c r="AT102" s="43"/>
      <c r="AU102" s="41"/>
    </row>
    <row r="103" spans="1:47" x14ac:dyDescent="0.3">
      <c r="A103" s="41"/>
      <c r="B103" s="300">
        <f t="shared" si="175"/>
        <v>37</v>
      </c>
      <c r="C103" s="605" t="s">
        <v>640</v>
      </c>
      <c r="D103" s="606"/>
      <c r="E103" s="606"/>
      <c r="F103" s="606"/>
      <c r="G103" s="607"/>
      <c r="H103" s="43"/>
      <c r="I103" s="315" t="s">
        <v>34</v>
      </c>
      <c r="J103" s="302"/>
      <c r="K103" s="302"/>
      <c r="L103" s="302"/>
      <c r="M103" s="359">
        <f>M101/(1-M102)</f>
        <v>258471.92077855556</v>
      </c>
      <c r="N103" s="359">
        <f>N101/(1-N102)</f>
        <v>358474.76992330776</v>
      </c>
      <c r="O103" s="359">
        <f>O101/(1-O102)</f>
        <v>299744.29933110368</v>
      </c>
      <c r="P103" s="359">
        <f t="shared" ref="P103" si="178">P101/(1-P102)</f>
        <v>289517.4860678367</v>
      </c>
      <c r="Q103" s="359">
        <f t="shared" ref="Q103" si="179">Q101/(1-Q102)</f>
        <v>284318.03519527352</v>
      </c>
      <c r="R103" s="359">
        <f t="shared" ref="R103" si="180">R101/(1-R102)</f>
        <v>279266.03291835793</v>
      </c>
      <c r="S103" s="359">
        <f t="shared" ref="S103" si="181">S101/(1-S102)</f>
        <v>274357.05991803668</v>
      </c>
      <c r="T103" s="359">
        <f t="shared" ref="T103" si="182">T101/(1-T102)</f>
        <v>271040.05269828637</v>
      </c>
      <c r="U103" s="359">
        <f t="shared" ref="U103" si="183">U101/(1-U102)</f>
        <v>267784.03249551676</v>
      </c>
      <c r="V103" s="359">
        <f t="shared" ref="V103" si="184">V101/(1-V102)</f>
        <v>264587.87718055281</v>
      </c>
      <c r="W103" s="359">
        <f t="shared" ref="W103" si="185">W101/(1-W102)</f>
        <v>261450.48528523746</v>
      </c>
      <c r="X103" s="359">
        <f t="shared" ref="X103" si="186">X101/(1-X102)</f>
        <v>258370.77562175749</v>
      </c>
      <c r="Y103" s="359">
        <f t="shared" ref="Y103" si="187">Y101/(1-Y102)</f>
        <v>256069.56526878051</v>
      </c>
      <c r="Z103" s="359">
        <f t="shared" ref="Z103" si="188">Z101/(1-Z102)</f>
        <v>253811.30125401603</v>
      </c>
      <c r="AA103" s="359">
        <f t="shared" ref="AA103" si="189">AA101/(1-AA102)</f>
        <v>251595.18209142698</v>
      </c>
      <c r="AB103" s="359">
        <f t="shared" ref="AB103" si="190">AB101/(1-AB102)</f>
        <v>249420.42125270999</v>
      </c>
      <c r="AC103" s="359">
        <f t="shared" ref="AC103" si="191">AC101/(1-AC102)</f>
        <v>247286.2468881454</v>
      </c>
      <c r="AD103" s="359">
        <f t="shared" ref="AD103" si="192">AD101/(1-AD102)</f>
        <v>245191.90155265943</v>
      </c>
      <c r="AE103" s="359">
        <f t="shared" ref="AE103" si="193">AE101/(1-AE102)</f>
        <v>243136.64193699698</v>
      </c>
      <c r="AF103" s="359">
        <f t="shared" ref="AF103" si="194">AF101/(1-AF102)</f>
        <v>241119.73860391194</v>
      </c>
      <c r="AG103" s="359">
        <f t="shared" ref="AG103" si="195">AG101/(1-AG102)</f>
        <v>239140.4757292805</v>
      </c>
      <c r="AH103" s="359">
        <f t="shared" ref="AH103" si="196">AH101/(1-AH102)</f>
        <v>237198.15084804693</v>
      </c>
      <c r="AI103" s="359">
        <f t="shared" ref="AI103" si="197">AI101/(1-AI102)</f>
        <v>235292.0746049094</v>
      </c>
      <c r="AJ103" s="359">
        <f t="shared" ref="AJ103" si="198">AJ101/(1-AJ102)</f>
        <v>234289.7951164968</v>
      </c>
      <c r="AK103" s="359">
        <f t="shared" ref="AK103" si="199">AK101/(1-AK102)</f>
        <v>233297.53842296838</v>
      </c>
      <c r="AL103" s="359">
        <f t="shared" ref="AL103" si="200">AL101/(1-AL102)</f>
        <v>232315.20429637522</v>
      </c>
      <c r="AM103" s="359">
        <f t="shared" ref="AM103" si="201">AM101/(1-AM102)</f>
        <v>231342.6935110479</v>
      </c>
      <c r="AN103" s="359">
        <f t="shared" ref="AN103" si="202">AN101/(1-AN102)</f>
        <v>230379.90783357387</v>
      </c>
      <c r="AO103" s="359">
        <f t="shared" ref="AO103" si="203">AO101/(1-AO102)</f>
        <v>229426.75001287463</v>
      </c>
      <c r="AP103" s="359">
        <f t="shared" ref="AP103" si="204">AP101/(1-AP102)</f>
        <v>228483.1237703824</v>
      </c>
      <c r="AQ103" s="359">
        <f t="shared" ref="AQ103" si="205">AQ101/(1-AQ102)</f>
        <v>227548.93379031512</v>
      </c>
      <c r="AR103" s="359">
        <f t="shared" ref="AR103" si="206">AR101/(1-AR102)</f>
        <v>226624.08571004844</v>
      </c>
      <c r="AS103" s="359">
        <f t="shared" ref="AS103" si="207">AS101/(1-AS102)</f>
        <v>225708.48611058446</v>
      </c>
      <c r="AT103" s="43"/>
      <c r="AU103" s="41"/>
    </row>
    <row r="104" spans="1:47" x14ac:dyDescent="0.3">
      <c r="A104" s="41"/>
      <c r="B104" s="300">
        <f t="shared" si="175"/>
        <v>38</v>
      </c>
      <c r="C104" s="605" t="s">
        <v>639</v>
      </c>
      <c r="D104" s="606"/>
      <c r="E104" s="606"/>
      <c r="F104" s="606"/>
      <c r="G104" s="607"/>
      <c r="H104" s="43"/>
      <c r="I104" s="315" t="s">
        <v>643</v>
      </c>
      <c r="J104" s="302"/>
      <c r="K104" s="302"/>
      <c r="L104" s="302"/>
      <c r="M104" s="575">
        <f>M36</f>
        <v>2.4209999999999998</v>
      </c>
      <c r="N104" s="575">
        <f>N36</f>
        <v>2.6513784090915431</v>
      </c>
      <c r="O104" s="575">
        <f>O36</f>
        <v>2.5444680039219603</v>
      </c>
      <c r="P104" s="575">
        <f>O104</f>
        <v>2.5444680039219603</v>
      </c>
      <c r="Q104" s="575">
        <f t="shared" ref="Q104:AI104" si="208">P104</f>
        <v>2.5444680039219603</v>
      </c>
      <c r="R104" s="575">
        <f t="shared" si="208"/>
        <v>2.5444680039219603</v>
      </c>
      <c r="S104" s="575">
        <f t="shared" si="208"/>
        <v>2.5444680039219603</v>
      </c>
      <c r="T104" s="575">
        <f t="shared" si="208"/>
        <v>2.5444680039219603</v>
      </c>
      <c r="U104" s="575">
        <f t="shared" si="208"/>
        <v>2.5444680039219603</v>
      </c>
      <c r="V104" s="575">
        <f t="shared" si="208"/>
        <v>2.5444680039219603</v>
      </c>
      <c r="W104" s="575">
        <f t="shared" si="208"/>
        <v>2.5444680039219603</v>
      </c>
      <c r="X104" s="575">
        <f t="shared" si="208"/>
        <v>2.5444680039219603</v>
      </c>
      <c r="Y104" s="575">
        <f t="shared" si="208"/>
        <v>2.5444680039219603</v>
      </c>
      <c r="Z104" s="575">
        <f t="shared" si="208"/>
        <v>2.5444680039219603</v>
      </c>
      <c r="AA104" s="575">
        <f t="shared" si="208"/>
        <v>2.5444680039219603</v>
      </c>
      <c r="AB104" s="575">
        <f t="shared" si="208"/>
        <v>2.5444680039219603</v>
      </c>
      <c r="AC104" s="575">
        <f t="shared" si="208"/>
        <v>2.5444680039219603</v>
      </c>
      <c r="AD104" s="575">
        <f t="shared" si="208"/>
        <v>2.5444680039219603</v>
      </c>
      <c r="AE104" s="575">
        <f t="shared" si="208"/>
        <v>2.5444680039219603</v>
      </c>
      <c r="AF104" s="575">
        <f t="shared" si="208"/>
        <v>2.5444680039219603</v>
      </c>
      <c r="AG104" s="575">
        <f t="shared" si="208"/>
        <v>2.5444680039219603</v>
      </c>
      <c r="AH104" s="575">
        <f t="shared" si="208"/>
        <v>2.5444680039219603</v>
      </c>
      <c r="AI104" s="575">
        <f t="shared" si="208"/>
        <v>2.5444680039219603</v>
      </c>
      <c r="AJ104" s="575">
        <f t="shared" ref="AJ104:AS104" si="209">AI104</f>
        <v>2.5444680039219603</v>
      </c>
      <c r="AK104" s="575">
        <f t="shared" si="209"/>
        <v>2.5444680039219603</v>
      </c>
      <c r="AL104" s="575">
        <f t="shared" si="209"/>
        <v>2.5444680039219603</v>
      </c>
      <c r="AM104" s="575">
        <f t="shared" si="209"/>
        <v>2.5444680039219603</v>
      </c>
      <c r="AN104" s="575">
        <f t="shared" si="209"/>
        <v>2.5444680039219603</v>
      </c>
      <c r="AO104" s="575">
        <f t="shared" si="209"/>
        <v>2.5444680039219603</v>
      </c>
      <c r="AP104" s="575">
        <f t="shared" si="209"/>
        <v>2.5444680039219603</v>
      </c>
      <c r="AQ104" s="575">
        <f t="shared" si="209"/>
        <v>2.5444680039219603</v>
      </c>
      <c r="AR104" s="575">
        <f t="shared" si="209"/>
        <v>2.5444680039219603</v>
      </c>
      <c r="AS104" s="575">
        <f t="shared" si="209"/>
        <v>2.5444680039219603</v>
      </c>
      <c r="AT104" s="43"/>
      <c r="AU104" s="41"/>
    </row>
    <row r="105" spans="1:47" x14ac:dyDescent="0.3">
      <c r="A105" s="41"/>
      <c r="B105" s="300">
        <f t="shared" si="175"/>
        <v>39</v>
      </c>
      <c r="C105" s="605" t="s">
        <v>641</v>
      </c>
      <c r="D105" s="606"/>
      <c r="E105" s="606"/>
      <c r="F105" s="606"/>
      <c r="G105" s="607"/>
      <c r="H105" s="43"/>
      <c r="I105" s="315" t="s">
        <v>359</v>
      </c>
      <c r="J105" s="302"/>
      <c r="K105" s="302"/>
      <c r="L105" s="302"/>
      <c r="M105" s="359">
        <f>M103*M104</f>
        <v>625760.52020488295</v>
      </c>
      <c r="N105" s="359">
        <f>N103*N104</f>
        <v>950452.26517871663</v>
      </c>
      <c r="O105" s="359">
        <f>O103*O104</f>
        <v>762689.77900599991</v>
      </c>
      <c r="P105" s="359">
        <f t="shared" ref="P105" si="210">P103*P104</f>
        <v>736667.97987553233</v>
      </c>
      <c r="Q105" s="359">
        <f t="shared" ref="Q105" si="211">Q103*Q104</f>
        <v>723438.14349233126</v>
      </c>
      <c r="R105" s="359">
        <f t="shared" ref="R105" si="212">R103*R104</f>
        <v>710583.48534297862</v>
      </c>
      <c r="S105" s="359">
        <f t="shared" ref="S105" si="213">S103*S104</f>
        <v>698092.76061154448</v>
      </c>
      <c r="T105" s="359">
        <f t="shared" ref="T105" si="214">T103*T104</f>
        <v>689652.74187211168</v>
      </c>
      <c r="U105" s="359">
        <f t="shared" ref="U105" si="215">U103*U104</f>
        <v>681367.90264604089</v>
      </c>
      <c r="V105" s="359">
        <f t="shared" ref="V105" si="216">V103*V104</f>
        <v>673235.38771154999</v>
      </c>
      <c r="W105" s="359">
        <f t="shared" ref="W105" si="217">W103*W104</f>
        <v>665252.39441815601</v>
      </c>
      <c r="X105" s="359">
        <f t="shared" ref="X105" si="218">X103*X104</f>
        <v>657416.17171806202</v>
      </c>
      <c r="Y105" s="359">
        <f t="shared" ref="Y105" si="219">Y103*Y104</f>
        <v>651560.81560461805</v>
      </c>
      <c r="Z105" s="359">
        <f t="shared" ref="Z105" si="220">Z103*Z104</f>
        <v>645814.73507464153</v>
      </c>
      <c r="AA105" s="359">
        <f t="shared" ref="AA105" si="221">AA103*AA104</f>
        <v>640175.89077255537</v>
      </c>
      <c r="AB105" s="359">
        <f t="shared" ref="AB105" si="222">AB103*AB104</f>
        <v>634642.2814022575</v>
      </c>
      <c r="AC105" s="359">
        <f t="shared" ref="AC105" si="223">AC103*AC104</f>
        <v>629211.94301683235</v>
      </c>
      <c r="AD105" s="359">
        <f t="shared" ref="AD105" si="224">AD103*AD104</f>
        <v>623882.94832152512</v>
      </c>
      <c r="AE105" s="359">
        <f t="shared" ref="AE105" si="225">AE103*AE104</f>
        <v>618653.40598971909</v>
      </c>
      <c r="AF105" s="359">
        <f t="shared" ref="AF105" si="226">AF103*AF104</f>
        <v>613521.45999168069</v>
      </c>
      <c r="AG105" s="359">
        <f t="shared" ref="AG105" si="227">AG103*AG104</f>
        <v>608485.28893583035</v>
      </c>
      <c r="AH105" s="359">
        <f t="shared" ref="AH105" si="228">AH103*AH104</f>
        <v>603543.10542231007</v>
      </c>
      <c r="AI105" s="359">
        <f t="shared" ref="AI105" si="229">AI103*AI104</f>
        <v>598693.15540861082</v>
      </c>
      <c r="AJ105" s="359">
        <f t="shared" ref="AJ105" si="230">AJ103*AJ104</f>
        <v>596142.8873193576</v>
      </c>
      <c r="AK105" s="359">
        <f t="shared" ref="AK105" si="231">AK103*AK104</f>
        <v>593618.1219109972</v>
      </c>
      <c r="AL105" s="359">
        <f t="shared" ref="AL105" si="232">AL103*AL104</f>
        <v>591118.60415672022</v>
      </c>
      <c r="AM105" s="359">
        <f t="shared" ref="AM105" si="233">AM103*AM104</f>
        <v>588644.08157998591</v>
      </c>
      <c r="AN105" s="359">
        <f t="shared" ref="AN105" si="234">AN103*AN104</f>
        <v>586194.30422901886</v>
      </c>
      <c r="AO105" s="359">
        <f t="shared" ref="AO105" si="235">AO103*AO104</f>
        <v>583769.02465156163</v>
      </c>
      <c r="AP105" s="359">
        <f t="shared" ref="AP105" si="236">AP103*AP104</f>
        <v>581367.99786987912</v>
      </c>
      <c r="AQ105" s="359">
        <f t="shared" ref="AQ105" si="237">AQ103*AQ104</f>
        <v>578990.98135601345</v>
      </c>
      <c r="AR105" s="359">
        <f t="shared" ref="AR105" si="238">AR103*AR104</f>
        <v>576637.73500728619</v>
      </c>
      <c r="AS105" s="359">
        <f t="shared" ref="AS105" si="239">AS103*AS104</f>
        <v>574308.02112204628</v>
      </c>
      <c r="AT105" s="43"/>
      <c r="AU105" s="41"/>
    </row>
    <row r="106" spans="1:47" x14ac:dyDescent="0.3">
      <c r="A106" s="41"/>
      <c r="B106" s="300">
        <f t="shared" si="175"/>
        <v>40</v>
      </c>
      <c r="C106" s="682" t="s">
        <v>642</v>
      </c>
      <c r="D106" s="682"/>
      <c r="E106" s="682"/>
      <c r="F106" s="682"/>
      <c r="G106" s="682"/>
      <c r="H106" s="317"/>
      <c r="I106" s="572" t="s">
        <v>144</v>
      </c>
      <c r="J106" s="318"/>
      <c r="K106" s="318"/>
      <c r="L106" s="318"/>
      <c r="M106" s="576">
        <f>M100/M105</f>
        <v>74.741349909206122</v>
      </c>
      <c r="N106" s="576">
        <f>N100/N105</f>
        <v>144.46453959913683</v>
      </c>
      <c r="O106" s="576">
        <f>O100/O105</f>
        <v>179.37508901495815</v>
      </c>
      <c r="P106" s="576">
        <f t="shared" ref="P106" si="240">P100/P105</f>
        <v>179.37508901495815</v>
      </c>
      <c r="Q106" s="576">
        <f t="shared" ref="Q106" si="241">Q100/Q105</f>
        <v>179.37508901495815</v>
      </c>
      <c r="R106" s="576">
        <f t="shared" ref="R106" si="242">R100/R105</f>
        <v>179.37508901495818</v>
      </c>
      <c r="S106" s="576">
        <f t="shared" ref="S106" si="243">S100/S105</f>
        <v>179.37508901495815</v>
      </c>
      <c r="T106" s="576">
        <f t="shared" ref="T106" si="244">T100/T105</f>
        <v>179.37508901495815</v>
      </c>
      <c r="U106" s="576">
        <f t="shared" ref="U106" si="245">U100/U105</f>
        <v>179.37508901495818</v>
      </c>
      <c r="V106" s="576">
        <f t="shared" ref="V106" si="246">V100/V105</f>
        <v>179.37508901495815</v>
      </c>
      <c r="W106" s="576">
        <f t="shared" ref="W106" si="247">W100/W105</f>
        <v>179.37508901495815</v>
      </c>
      <c r="X106" s="576">
        <f t="shared" ref="X106" si="248">X100/X105</f>
        <v>179.37508901495815</v>
      </c>
      <c r="Y106" s="576">
        <f t="shared" ref="Y106" si="249">Y100/Y105</f>
        <v>179.37508901495818</v>
      </c>
      <c r="Z106" s="576">
        <f t="shared" ref="Z106" si="250">Z100/Z105</f>
        <v>179.37508901495815</v>
      </c>
      <c r="AA106" s="576">
        <f t="shared" ref="AA106" si="251">AA100/AA105</f>
        <v>179.37508901495812</v>
      </c>
      <c r="AB106" s="576">
        <f t="shared" ref="AB106" si="252">AB100/AB105</f>
        <v>179.37508901495815</v>
      </c>
      <c r="AC106" s="576">
        <f t="shared" ref="AC106" si="253">AC100/AC105</f>
        <v>179.37508901495818</v>
      </c>
      <c r="AD106" s="576">
        <f t="shared" ref="AD106" si="254">AD100/AD105</f>
        <v>179.37508901495815</v>
      </c>
      <c r="AE106" s="576">
        <f t="shared" ref="AE106" si="255">AE100/AE105</f>
        <v>179.37508901495815</v>
      </c>
      <c r="AF106" s="576">
        <f t="shared" ref="AF106" si="256">AF100/AF105</f>
        <v>179.37508901495815</v>
      </c>
      <c r="AG106" s="576">
        <f t="shared" ref="AG106" si="257">AG100/AG105</f>
        <v>179.37508901495815</v>
      </c>
      <c r="AH106" s="576">
        <f t="shared" ref="AH106" si="258">AH100/AH105</f>
        <v>179.37508901495815</v>
      </c>
      <c r="AI106" s="576">
        <f t="shared" ref="AI106" si="259">AI100/AI105</f>
        <v>179.37508901495815</v>
      </c>
      <c r="AJ106" s="576">
        <f t="shared" ref="AJ106" si="260">AJ100/AJ105</f>
        <v>179.37508901495818</v>
      </c>
      <c r="AK106" s="576">
        <f t="shared" ref="AK106" si="261">AK100/AK105</f>
        <v>179.37508901495815</v>
      </c>
      <c r="AL106" s="576">
        <f t="shared" ref="AL106" si="262">AL100/AL105</f>
        <v>179.37508901495818</v>
      </c>
      <c r="AM106" s="576">
        <f t="shared" ref="AM106" si="263">AM100/AM105</f>
        <v>179.37508901495815</v>
      </c>
      <c r="AN106" s="576">
        <f t="shared" ref="AN106" si="264">AN100/AN105</f>
        <v>179.37508901495818</v>
      </c>
      <c r="AO106" s="576">
        <f t="shared" ref="AO106" si="265">AO100/AO105</f>
        <v>179.37508901495818</v>
      </c>
      <c r="AP106" s="576">
        <f t="shared" ref="AP106" si="266">AP100/AP105</f>
        <v>179.37508901495815</v>
      </c>
      <c r="AQ106" s="576">
        <f t="shared" ref="AQ106" si="267">AQ100/AQ105</f>
        <v>179.37508901495815</v>
      </c>
      <c r="AR106" s="576">
        <f t="shared" ref="AR106" si="268">AR100/AR105</f>
        <v>179.37508901495818</v>
      </c>
      <c r="AS106" s="576">
        <f t="shared" ref="AS106" si="269">AS100/AS105</f>
        <v>179.37508901495818</v>
      </c>
      <c r="AT106" s="43"/>
      <c r="AU106" s="41"/>
    </row>
    <row r="107" spans="1:47" x14ac:dyDescent="0.3">
      <c r="A107" s="41"/>
      <c r="B107" s="300"/>
      <c r="C107" s="683"/>
      <c r="D107" s="683"/>
      <c r="E107" s="683"/>
      <c r="F107" s="683"/>
      <c r="G107" s="683"/>
      <c r="H107" s="43"/>
      <c r="I107" s="302"/>
      <c r="J107" s="302"/>
      <c r="K107" s="302"/>
      <c r="L107" s="302"/>
      <c r="M107" s="302"/>
      <c r="N107" s="302"/>
      <c r="O107" s="302"/>
      <c r="P107" s="302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1"/>
    </row>
    <row r="108" spans="1:47" x14ac:dyDescent="0.3">
      <c r="A108" s="41"/>
      <c r="B108" s="300">
        <f>B106+1</f>
        <v>41</v>
      </c>
      <c r="C108" s="608" t="s">
        <v>358</v>
      </c>
      <c r="D108" s="608"/>
      <c r="E108" s="608"/>
      <c r="F108" s="608"/>
      <c r="G108" s="608"/>
      <c r="H108" s="43"/>
      <c r="I108" s="315" t="s">
        <v>144</v>
      </c>
      <c r="J108" s="302"/>
      <c r="K108" s="302"/>
      <c r="L108" s="302"/>
      <c r="M108" s="359">
        <v>0</v>
      </c>
      <c r="N108" s="359">
        <v>0</v>
      </c>
      <c r="O108" s="359">
        <v>0</v>
      </c>
      <c r="P108" s="359">
        <f t="shared" ref="P108:AI108" si="270">P40</f>
        <v>310.92436974789916</v>
      </c>
      <c r="Q108" s="359">
        <f t="shared" si="270"/>
        <v>232.57017182035796</v>
      </c>
      <c r="R108" s="359">
        <f t="shared" si="270"/>
        <v>220.29890488425275</v>
      </c>
      <c r="S108" s="359">
        <f t="shared" si="270"/>
        <v>207.68270455045464</v>
      </c>
      <c r="T108" s="359">
        <f t="shared" si="270"/>
        <v>193.43590997301735</v>
      </c>
      <c r="U108" s="359">
        <f t="shared" si="270"/>
        <v>178.48879607299142</v>
      </c>
      <c r="V108" s="359">
        <f t="shared" si="270"/>
        <v>163.54168217296549</v>
      </c>
      <c r="W108" s="359">
        <f t="shared" si="270"/>
        <v>148.59456827293951</v>
      </c>
      <c r="X108" s="359">
        <f t="shared" si="270"/>
        <v>145.33337978566112</v>
      </c>
      <c r="Y108" s="359">
        <f t="shared" si="270"/>
        <v>142.07219129838273</v>
      </c>
      <c r="Z108" s="359">
        <f t="shared" si="270"/>
        <v>138.81100281110434</v>
      </c>
      <c r="AA108" s="359">
        <f t="shared" si="270"/>
        <v>135.54981432382596</v>
      </c>
      <c r="AB108" s="359">
        <f t="shared" si="270"/>
        <v>132.28862583654757</v>
      </c>
      <c r="AC108" s="359">
        <f t="shared" si="270"/>
        <v>132.28862583654757</v>
      </c>
      <c r="AD108" s="359">
        <f t="shared" si="270"/>
        <v>132.28862583654757</v>
      </c>
      <c r="AE108" s="359">
        <f t="shared" si="270"/>
        <v>132.28862583654757</v>
      </c>
      <c r="AF108" s="359">
        <f t="shared" si="270"/>
        <v>132.28862583654757</v>
      </c>
      <c r="AG108" s="359">
        <f t="shared" si="270"/>
        <v>132.28862583654757</v>
      </c>
      <c r="AH108" s="359">
        <f t="shared" si="270"/>
        <v>132.28862583654757</v>
      </c>
      <c r="AI108" s="359">
        <f t="shared" si="270"/>
        <v>132.28862583654757</v>
      </c>
      <c r="AJ108" s="359">
        <f t="shared" ref="AJ108:AS108" si="271">AJ40</f>
        <v>132.28862583654757</v>
      </c>
      <c r="AK108" s="359">
        <f t="shared" si="271"/>
        <v>132.28862583654757</v>
      </c>
      <c r="AL108" s="359">
        <f t="shared" si="271"/>
        <v>132.28862583654757</v>
      </c>
      <c r="AM108" s="359">
        <f t="shared" si="271"/>
        <v>132.28862583654757</v>
      </c>
      <c r="AN108" s="359">
        <f t="shared" si="271"/>
        <v>132.28862583654757</v>
      </c>
      <c r="AO108" s="359">
        <f t="shared" si="271"/>
        <v>132.28862583654757</v>
      </c>
      <c r="AP108" s="359">
        <f t="shared" si="271"/>
        <v>132.28862583654757</v>
      </c>
      <c r="AQ108" s="359">
        <f t="shared" si="271"/>
        <v>132.28862583654757</v>
      </c>
      <c r="AR108" s="359">
        <f t="shared" si="271"/>
        <v>132.28862583654757</v>
      </c>
      <c r="AS108" s="359">
        <f t="shared" si="271"/>
        <v>132.28862583654757</v>
      </c>
      <c r="AT108" s="43"/>
      <c r="AU108" s="41"/>
    </row>
    <row r="109" spans="1:47" x14ac:dyDescent="0.3">
      <c r="A109" s="41"/>
      <c r="B109" s="300">
        <f>B108+1</f>
        <v>42</v>
      </c>
      <c r="C109" s="608" t="s">
        <v>644</v>
      </c>
      <c r="D109" s="608"/>
      <c r="E109" s="608"/>
      <c r="F109" s="608"/>
      <c r="G109" s="608"/>
      <c r="H109" s="43"/>
      <c r="I109" s="315" t="s">
        <v>15</v>
      </c>
      <c r="J109" s="302"/>
      <c r="K109" s="302"/>
      <c r="L109" s="302"/>
      <c r="M109" s="301">
        <v>1</v>
      </c>
      <c r="N109" s="301">
        <v>1</v>
      </c>
      <c r="O109" s="301">
        <v>1</v>
      </c>
      <c r="P109" s="301">
        <f>'2.BilantNOPRO'!J55/('2.BilantNOPRO'!J55+'2.BilantNOPRO'!J52)</f>
        <v>0.81757295141613184</v>
      </c>
      <c r="Q109" s="301">
        <f>'2.BilantNOPRO'!K55/('2.BilantNOPRO'!K55+'2.BilantNOPRO'!K52)</f>
        <v>0.81485449504475005</v>
      </c>
      <c r="R109" s="301">
        <f>'2.BilantNOPRO'!L55/('2.BilantNOPRO'!L55+'2.BilantNOPRO'!L52)</f>
        <v>0.81213438488337431</v>
      </c>
      <c r="S109" s="301">
        <f>'2.BilantNOPRO'!M55/('2.BilantNOPRO'!M55+'2.BilantNOPRO'!M52)</f>
        <v>0.80941361190485894</v>
      </c>
      <c r="T109" s="301">
        <f>'2.BilantNOPRO'!N55/('2.BilantNOPRO'!N55+'2.BilantNOPRO'!N52)</f>
        <v>0.80753012088550791</v>
      </c>
      <c r="U109" s="301">
        <f>'2.BilantNOPRO'!O55/('2.BilantNOPRO'!O55+'2.BilantNOPRO'!O52)</f>
        <v>0.80564469814611184</v>
      </c>
      <c r="V109" s="301">
        <f>'2.BilantNOPRO'!P55/('2.BilantNOPRO'!P55+'2.BilantNOPRO'!P52)</f>
        <v>0.80375766532645598</v>
      </c>
      <c r="W109" s="301">
        <f>'2.BilantNOPRO'!Q55/('2.BilantNOPRO'!Q55+'2.BilantNOPRO'!Q52)</f>
        <v>0.80186934516067676</v>
      </c>
      <c r="X109" s="301">
        <f>'2.BilantNOPRO'!R55/('2.BilantNOPRO'!R55+'2.BilantNOPRO'!R52)</f>
        <v>0.79998006125703935</v>
      </c>
      <c r="Y109" s="301">
        <f>'2.BilantNOPRO'!S55/('2.BilantNOPRO'!S55+'2.BilantNOPRO'!S52)</f>
        <v>0.79854466814048475</v>
      </c>
      <c r="Z109" s="301">
        <f>'2.BilantNOPRO'!T55/('2.BilantNOPRO'!T55+'2.BilantNOPRO'!T52)</f>
        <v>0.79711589264637617</v>
      </c>
      <c r="AA109" s="301">
        <f>'2.BilantNOPRO'!U55/('2.BilantNOPRO'!U55+'2.BilantNOPRO'!U52)</f>
        <v>0.79569394086979117</v>
      </c>
      <c r="AB109" s="301">
        <f>'2.BilantNOPRO'!V55/('2.BilantNOPRO'!V55+'2.BilantNOPRO'!V52)</f>
        <v>0.79427901453222693</v>
      </c>
      <c r="AC109" s="301">
        <f>'2.BilantNOPRO'!W55/('2.BilantNOPRO'!W55+'2.BilantNOPRO'!W52)</f>
        <v>0.79287131088628804</v>
      </c>
      <c r="AD109" s="301">
        <f>'2.BilantNOPRO'!X55/('2.BilantNOPRO'!X55+'2.BilantNOPRO'!X52)</f>
        <v>0.79147102262615654</v>
      </c>
      <c r="AE109" s="301">
        <f>'2.BilantNOPRO'!Y55/('2.BilantNOPRO'!Y55+'2.BilantNOPRO'!Y52)</f>
        <v>0.79007833780388614</v>
      </c>
      <c r="AF109" s="301">
        <f>'2.BilantNOPRO'!Z55/('2.BilantNOPRO'!Z55+'2.BilantNOPRO'!Z52)</f>
        <v>0.78869343975156214</v>
      </c>
      <c r="AG109" s="301">
        <f>'2.BilantNOPRO'!AA55/('2.BilantNOPRO'!AA55+'2.BilantNOPRO'!AA52)</f>
        <v>0.78731650700934863</v>
      </c>
      <c r="AH109" s="301">
        <f>'2.BilantNOPRO'!AB55/('2.BilantNOPRO'!AB55+'2.BilantNOPRO'!AB52)</f>
        <v>0.78594771325943658</v>
      </c>
      <c r="AI109" s="301">
        <f>'2.BilantNOPRO'!AC55/('2.BilantNOPRO'!AC55+'2.BilantNOPRO'!AC52)</f>
        <v>0.78458722726589425</v>
      </c>
      <c r="AJ109" s="301">
        <f>'2.BilantNOPRO'!AD55/('2.BilantNOPRO'!AD55+'2.BilantNOPRO'!AD52)</f>
        <v>0.78386487651943182</v>
      </c>
      <c r="AK109" s="301">
        <f>'2.BilantNOPRO'!AE55/('2.BilantNOPRO'!AE55+'2.BilantNOPRO'!AE52)</f>
        <v>0.78314496124626409</v>
      </c>
      <c r="AL109" s="301">
        <f>'2.BilantNOPRO'!AF55/('2.BilantNOPRO'!AF55+'2.BilantNOPRO'!AF52)</f>
        <v>0.78242750532414551</v>
      </c>
      <c r="AM109" s="301">
        <f>'2.BilantNOPRO'!AG55/('2.BilantNOPRO'!AG55+'2.BilantNOPRO'!AG52)</f>
        <v>0.78171253222041237</v>
      </c>
      <c r="AN109" s="301">
        <f>'2.BilantNOPRO'!AH55/('2.BilantNOPRO'!AH55+'2.BilantNOPRO'!AH52)</f>
        <v>0.78100006499035357</v>
      </c>
      <c r="AO109" s="301">
        <f>'2.BilantNOPRO'!AI55/('2.BilantNOPRO'!AI55+'2.BilantNOPRO'!AI52)</f>
        <v>0.78029012627571381</v>
      </c>
      <c r="AP109" s="301">
        <f>'2.BilantNOPRO'!AJ55/('2.BilantNOPRO'!AJ55+'2.BilantNOPRO'!AJ52)</f>
        <v>0.77958273830332925</v>
      </c>
      <c r="AQ109" s="301">
        <f>'2.BilantNOPRO'!AK55/('2.BilantNOPRO'!AK55+'2.BilantNOPRO'!AK52)</f>
        <v>0.77887792288389501</v>
      </c>
      <c r="AR109" s="301">
        <f>'2.BilantNOPRO'!AL55/('2.BilantNOPRO'!AL55+'2.BilantNOPRO'!AL52)</f>
        <v>0.77817570141086312</v>
      </c>
      <c r="AS109" s="301">
        <f>'2.BilantNOPRO'!AM55/('2.BilantNOPRO'!AM55+'2.BilantNOPRO'!AM52)</f>
        <v>0.77747609485947011</v>
      </c>
      <c r="AT109" s="43"/>
      <c r="AU109" s="41"/>
    </row>
    <row r="110" spans="1:47" ht="26.25" customHeight="1" x14ac:dyDescent="0.3">
      <c r="A110" s="41"/>
      <c r="B110" s="300">
        <f t="shared" ref="B110:B112" si="272">B109+1</f>
        <v>43</v>
      </c>
      <c r="C110" s="608" t="s">
        <v>645</v>
      </c>
      <c r="D110" s="608"/>
      <c r="E110" s="608"/>
      <c r="F110" s="608"/>
      <c r="G110" s="608"/>
      <c r="H110" s="43"/>
      <c r="I110" s="315" t="s">
        <v>15</v>
      </c>
      <c r="J110" s="302"/>
      <c r="K110" s="302"/>
      <c r="L110" s="302"/>
      <c r="M110" s="301">
        <v>0</v>
      </c>
      <c r="N110" s="301">
        <v>0</v>
      </c>
      <c r="O110" s="301">
        <v>0</v>
      </c>
      <c r="P110" s="301">
        <f>1-P109</f>
        <v>0.18242704858386816</v>
      </c>
      <c r="Q110" s="301">
        <f t="shared" ref="Q110" si="273">1-Q109</f>
        <v>0.18514550495524995</v>
      </c>
      <c r="R110" s="301">
        <f t="shared" ref="R110" si="274">1-R109</f>
        <v>0.18786561511662569</v>
      </c>
      <c r="S110" s="301">
        <f t="shared" ref="S110" si="275">1-S109</f>
        <v>0.19058638809514106</v>
      </c>
      <c r="T110" s="301">
        <f t="shared" ref="T110" si="276">1-T109</f>
        <v>0.19246987911449209</v>
      </c>
      <c r="U110" s="301">
        <f t="shared" ref="U110" si="277">1-U109</f>
        <v>0.19435530185388816</v>
      </c>
      <c r="V110" s="301">
        <f t="shared" ref="V110" si="278">1-V109</f>
        <v>0.19624233467354402</v>
      </c>
      <c r="W110" s="301">
        <f t="shared" ref="W110" si="279">1-W109</f>
        <v>0.19813065483932324</v>
      </c>
      <c r="X110" s="301">
        <f t="shared" ref="X110" si="280">1-X109</f>
        <v>0.20001993874296065</v>
      </c>
      <c r="Y110" s="301">
        <f t="shared" ref="Y110" si="281">1-Y109</f>
        <v>0.20145533185951525</v>
      </c>
      <c r="Z110" s="301">
        <f t="shared" ref="Z110" si="282">1-Z109</f>
        <v>0.20288410735362383</v>
      </c>
      <c r="AA110" s="301">
        <f t="shared" ref="AA110" si="283">1-AA109</f>
        <v>0.20430605913020883</v>
      </c>
      <c r="AB110" s="301">
        <f t="shared" ref="AB110" si="284">1-AB109</f>
        <v>0.20572098546777307</v>
      </c>
      <c r="AC110" s="301">
        <f t="shared" ref="AC110" si="285">1-AC109</f>
        <v>0.20712868911371196</v>
      </c>
      <c r="AD110" s="301">
        <f t="shared" ref="AD110" si="286">1-AD109</f>
        <v>0.20852897737384346</v>
      </c>
      <c r="AE110" s="301">
        <f t="shared" ref="AE110" si="287">1-AE109</f>
        <v>0.20992166219611386</v>
      </c>
      <c r="AF110" s="301">
        <f t="shared" ref="AF110" si="288">1-AF109</f>
        <v>0.21130656024843786</v>
      </c>
      <c r="AG110" s="301">
        <f t="shared" ref="AG110" si="289">1-AG109</f>
        <v>0.21268349299065137</v>
      </c>
      <c r="AH110" s="301">
        <f t="shared" ref="AH110" si="290">1-AH109</f>
        <v>0.21405228674056342</v>
      </c>
      <c r="AI110" s="301">
        <f t="shared" ref="AI110" si="291">1-AI109</f>
        <v>0.21541277273410575</v>
      </c>
      <c r="AJ110" s="301">
        <f t="shared" ref="AJ110" si="292">1-AJ109</f>
        <v>0.21613512348056818</v>
      </c>
      <c r="AK110" s="301">
        <f t="shared" ref="AK110" si="293">1-AK109</f>
        <v>0.21685503875373591</v>
      </c>
      <c r="AL110" s="301">
        <f t="shared" ref="AL110" si="294">1-AL109</f>
        <v>0.21757249467585449</v>
      </c>
      <c r="AM110" s="301">
        <f t="shared" ref="AM110" si="295">1-AM109</f>
        <v>0.21828746777958763</v>
      </c>
      <c r="AN110" s="301">
        <f t="shared" ref="AN110" si="296">1-AN109</f>
        <v>0.21899993500964643</v>
      </c>
      <c r="AO110" s="301">
        <f t="shared" ref="AO110" si="297">1-AO109</f>
        <v>0.21970987372428619</v>
      </c>
      <c r="AP110" s="301">
        <f t="shared" ref="AP110" si="298">1-AP109</f>
        <v>0.22041726169667075</v>
      </c>
      <c r="AQ110" s="301">
        <f t="shared" ref="AQ110" si="299">1-AQ109</f>
        <v>0.22112207711610499</v>
      </c>
      <c r="AR110" s="301">
        <f t="shared" ref="AR110" si="300">1-AR109</f>
        <v>0.22182429858913688</v>
      </c>
      <c r="AS110" s="301">
        <f t="shared" ref="AS110" si="301">1-AS109</f>
        <v>0.22252390514052989</v>
      </c>
      <c r="AT110" s="43"/>
      <c r="AU110" s="41"/>
    </row>
    <row r="111" spans="1:47" ht="27.75" customHeight="1" x14ac:dyDescent="0.3">
      <c r="A111" s="41"/>
      <c r="B111" s="300">
        <f t="shared" si="272"/>
        <v>44</v>
      </c>
      <c r="C111" s="608" t="s">
        <v>646</v>
      </c>
      <c r="D111" s="608"/>
      <c r="E111" s="608"/>
      <c r="F111" s="608"/>
      <c r="G111" s="608"/>
      <c r="H111" s="43"/>
      <c r="I111" s="315" t="s">
        <v>121</v>
      </c>
      <c r="J111" s="302"/>
      <c r="K111" s="577">
        <f>1.111/1.163</f>
        <v>0.95528804815133272</v>
      </c>
      <c r="L111" s="302"/>
      <c r="M111" s="575">
        <f>$K$43</f>
        <v>0.95528804815133272</v>
      </c>
      <c r="N111" s="575">
        <f t="shared" ref="N111:AS111" si="302">$K$43</f>
        <v>0.95528804815133272</v>
      </c>
      <c r="O111" s="575">
        <f t="shared" si="302"/>
        <v>0.95528804815133272</v>
      </c>
      <c r="P111" s="575">
        <f t="shared" si="302"/>
        <v>0.95528804815133272</v>
      </c>
      <c r="Q111" s="575">
        <f t="shared" si="302"/>
        <v>0.95528804815133272</v>
      </c>
      <c r="R111" s="575">
        <f t="shared" si="302"/>
        <v>0.95528804815133272</v>
      </c>
      <c r="S111" s="575">
        <f t="shared" si="302"/>
        <v>0.95528804815133272</v>
      </c>
      <c r="T111" s="575">
        <f t="shared" si="302"/>
        <v>0.95528804815133272</v>
      </c>
      <c r="U111" s="575">
        <f t="shared" si="302"/>
        <v>0.95528804815133272</v>
      </c>
      <c r="V111" s="575">
        <f t="shared" si="302"/>
        <v>0.95528804815133272</v>
      </c>
      <c r="W111" s="575">
        <f t="shared" si="302"/>
        <v>0.95528804815133272</v>
      </c>
      <c r="X111" s="575">
        <f t="shared" si="302"/>
        <v>0.95528804815133272</v>
      </c>
      <c r="Y111" s="575">
        <f t="shared" si="302"/>
        <v>0.95528804815133272</v>
      </c>
      <c r="Z111" s="575">
        <f t="shared" si="302"/>
        <v>0.95528804815133272</v>
      </c>
      <c r="AA111" s="575">
        <f t="shared" si="302"/>
        <v>0.95528804815133272</v>
      </c>
      <c r="AB111" s="575">
        <f t="shared" si="302"/>
        <v>0.95528804815133272</v>
      </c>
      <c r="AC111" s="575">
        <f t="shared" si="302"/>
        <v>0.95528804815133272</v>
      </c>
      <c r="AD111" s="575">
        <f t="shared" si="302"/>
        <v>0.95528804815133272</v>
      </c>
      <c r="AE111" s="575">
        <f t="shared" si="302"/>
        <v>0.95528804815133272</v>
      </c>
      <c r="AF111" s="575">
        <f t="shared" si="302"/>
        <v>0.95528804815133272</v>
      </c>
      <c r="AG111" s="575">
        <f t="shared" si="302"/>
        <v>0.95528804815133272</v>
      </c>
      <c r="AH111" s="575">
        <f t="shared" si="302"/>
        <v>0.95528804815133272</v>
      </c>
      <c r="AI111" s="575">
        <f t="shared" si="302"/>
        <v>0.95528804815133272</v>
      </c>
      <c r="AJ111" s="575">
        <f t="shared" si="302"/>
        <v>0.95528804815133272</v>
      </c>
      <c r="AK111" s="575">
        <f t="shared" si="302"/>
        <v>0.95528804815133272</v>
      </c>
      <c r="AL111" s="575">
        <f t="shared" si="302"/>
        <v>0.95528804815133272</v>
      </c>
      <c r="AM111" s="575">
        <f t="shared" si="302"/>
        <v>0.95528804815133272</v>
      </c>
      <c r="AN111" s="575">
        <f t="shared" si="302"/>
        <v>0.95528804815133272</v>
      </c>
      <c r="AO111" s="575">
        <f t="shared" si="302"/>
        <v>0.95528804815133272</v>
      </c>
      <c r="AP111" s="575">
        <f t="shared" si="302"/>
        <v>0.95528804815133272</v>
      </c>
      <c r="AQ111" s="575">
        <f t="shared" si="302"/>
        <v>0.95528804815133272</v>
      </c>
      <c r="AR111" s="575">
        <f t="shared" si="302"/>
        <v>0.95528804815133272</v>
      </c>
      <c r="AS111" s="575">
        <f t="shared" si="302"/>
        <v>0.95528804815133272</v>
      </c>
      <c r="AT111" s="43"/>
      <c r="AU111" s="41"/>
    </row>
    <row r="112" spans="1:47" x14ac:dyDescent="0.3">
      <c r="A112" s="41"/>
      <c r="B112" s="300">
        <f t="shared" si="272"/>
        <v>45</v>
      </c>
      <c r="C112" s="682" t="s">
        <v>647</v>
      </c>
      <c r="D112" s="682"/>
      <c r="E112" s="682"/>
      <c r="F112" s="682"/>
      <c r="G112" s="682"/>
      <c r="H112" s="317"/>
      <c r="I112" s="313" t="s">
        <v>144</v>
      </c>
      <c r="J112" s="318"/>
      <c r="K112" s="318"/>
      <c r="L112" s="318"/>
      <c r="M112" s="576">
        <f>M106*M109+M108*M110*M111</f>
        <v>74.741349909206122</v>
      </c>
      <c r="N112" s="576">
        <f t="shared" ref="N112" si="303">N106*N109+N108*N110*N111</f>
        <v>144.46453959913683</v>
      </c>
      <c r="O112" s="576">
        <f t="shared" ref="O112" si="304">O106*O109+O108*O110*O111</f>
        <v>179.37508901495815</v>
      </c>
      <c r="P112" s="576">
        <f t="shared" ref="P112" si="305">P106*P109+P108*P110*P111</f>
        <v>200.83712874617635</v>
      </c>
      <c r="Q112" s="576">
        <f t="shared" ref="Q112" si="306">Q106*Q109+Q108*Q110*Q111</f>
        <v>187.29865315470653</v>
      </c>
      <c r="R112" s="576">
        <f t="shared" ref="R112" si="307">R106*R109+R108*R110*R111</f>
        <v>185.21279166929156</v>
      </c>
      <c r="S112" s="576">
        <f t="shared" ref="S112" si="308">S106*S109+S108*S110*S111</f>
        <v>183.00036924850224</v>
      </c>
      <c r="T112" s="576">
        <f t="shared" ref="T112" si="309">T106*T109+T108*T110*T111</f>
        <v>180.41672134713593</v>
      </c>
      <c r="U112" s="576">
        <f t="shared" ref="U112" si="310">U106*U109+U108*U110*U111</f>
        <v>177.65176477057452</v>
      </c>
      <c r="V112" s="576">
        <f t="shared" ref="V112" si="311">V106*V109+V108*V110*V111</f>
        <v>174.83292778197551</v>
      </c>
      <c r="W112" s="576">
        <f t="shared" ref="W112" si="312">W106*W109+W108*W110*W111</f>
        <v>171.96015348945576</v>
      </c>
      <c r="X112" s="576">
        <f t="shared" ref="X112" si="313">X106*X109+X108*X110*X111</f>
        <v>171.26631103968754</v>
      </c>
      <c r="Y112" s="576">
        <f t="shared" ref="Y112" si="314">Y106*Y109+Y108*Y110*Y111</f>
        <v>170.58051163995023</v>
      </c>
      <c r="Z112" s="576">
        <f t="shared" ref="Z112" si="315">Z106*Z109+Z108*Z110*Z111</f>
        <v>169.88607817647141</v>
      </c>
      <c r="AA112" s="576">
        <f t="shared" ref="AA112" si="316">AA106*AA109+AA108*AA110*AA111</f>
        <v>169.18308277961867</v>
      </c>
      <c r="AB112" s="576">
        <f t="shared" ref="AB112" si="317">AB106*AB109+AB108*AB110*AB111</f>
        <v>168.47159991620725</v>
      </c>
      <c r="AC112" s="576">
        <f t="shared" ref="AC112" si="318">AC106*AC109+AC108*AC110*AC111</f>
        <v>168.39698972841887</v>
      </c>
      <c r="AD112" s="576">
        <f t="shared" ref="AD112" si="319">AD106*AD109+AD108*AD110*AD111</f>
        <v>168.32277256605821</v>
      </c>
      <c r="AE112" s="576">
        <f t="shared" ref="AE112" si="320">AE106*AE109+AE108*AE110*AE111</f>
        <v>168.24895839613728</v>
      </c>
      <c r="AF112" s="576">
        <f t="shared" ref="AF112" si="321">AF106*AF109+AF108*AF110*AF111</f>
        <v>168.17555693550329</v>
      </c>
      <c r="AG112" s="576">
        <f t="shared" ref="AG112" si="322">AG106*AG109+AG108*AG110*AG111</f>
        <v>168.10257764702524</v>
      </c>
      <c r="AH112" s="576">
        <f t="shared" ref="AH112" si="323">AH106*AH109+AH108*AH110*AH111</f>
        <v>168.03002973609304</v>
      </c>
      <c r="AI112" s="576">
        <f t="shared" ref="AI112" si="324">AI106*AI109+AI108*AI110*AI111</f>
        <v>167.95792214742937</v>
      </c>
      <c r="AJ112" s="576">
        <f t="shared" ref="AJ112" si="325">AJ106*AJ109+AJ108*AJ110*AJ111</f>
        <v>167.91963658569335</v>
      </c>
      <c r="AK112" s="576">
        <f t="shared" ref="AK112" si="326">AK106*AK109+AK108*AK110*AK111</f>
        <v>167.8814801073197</v>
      </c>
      <c r="AL112" s="576">
        <f t="shared" ref="AL112" si="327">AL106*AL109+AL108*AL110*AL111</f>
        <v>167.84345397786154</v>
      </c>
      <c r="AM112" s="576">
        <f t="shared" ref="AM112" si="328">AM106*AM109+AM108*AM110*AM111</f>
        <v>167.8055594411193</v>
      </c>
      <c r="AN112" s="576">
        <f t="shared" ref="AN112" si="329">AN106*AN109+AN108*AN110*AN111</f>
        <v>167.76779771905439</v>
      </c>
      <c r="AO112" s="576">
        <f t="shared" ref="AO112" si="330">AO106*AO109+AO108*AO110*AO111</f>
        <v>167.73017001170962</v>
      </c>
      <c r="AP112" s="576">
        <f t="shared" ref="AP112" si="331">AP106*AP109+AP108*AP110*AP111</f>
        <v>167.69267749713725</v>
      </c>
      <c r="AQ112" s="576">
        <f t="shared" ref="AQ112" si="332">AQ106*AQ109+AQ108*AQ110*AQ111</f>
        <v>167.65532133133357</v>
      </c>
      <c r="AR112" s="576">
        <f t="shared" ref="AR112" si="333">AR106*AR109+AR108*AR110*AR111</f>
        <v>167.6181026481803</v>
      </c>
      <c r="AS112" s="576">
        <f t="shared" ref="AS112" si="334">AS106*AS109+AS108*AS110*AS111</f>
        <v>167.58102255939312</v>
      </c>
      <c r="AT112" s="43"/>
      <c r="AU112" s="41"/>
    </row>
    <row r="113" spans="1:47" x14ac:dyDescent="0.3">
      <c r="A113" s="41"/>
      <c r="B113" s="300"/>
      <c r="C113" s="306"/>
      <c r="D113" s="306"/>
      <c r="E113" s="306"/>
      <c r="F113" s="306"/>
      <c r="G113" s="306"/>
      <c r="H113" s="43"/>
      <c r="I113" s="302"/>
      <c r="J113" s="302"/>
      <c r="K113" s="302"/>
      <c r="L113" s="302"/>
      <c r="M113" s="302"/>
      <c r="N113" s="302"/>
      <c r="O113" s="302"/>
      <c r="P113" s="302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1"/>
    </row>
    <row r="114" spans="1:47" x14ac:dyDescent="0.3">
      <c r="A114" s="41"/>
      <c r="B114" s="300">
        <f>B112+1</f>
        <v>46</v>
      </c>
      <c r="C114" s="608" t="s">
        <v>648</v>
      </c>
      <c r="D114" s="608"/>
      <c r="E114" s="608"/>
      <c r="F114" s="608"/>
      <c r="G114" s="608"/>
      <c r="H114" s="43"/>
      <c r="I114" s="315" t="s">
        <v>585</v>
      </c>
      <c r="J114" s="302"/>
      <c r="K114" s="302"/>
      <c r="L114" s="302"/>
      <c r="M114" s="359">
        <v>0</v>
      </c>
      <c r="N114" s="359">
        <v>0</v>
      </c>
      <c r="O114" s="359">
        <f t="shared" ref="O114:AI114" si="335">O46</f>
        <v>346.5</v>
      </c>
      <c r="P114" s="359">
        <f t="shared" si="335"/>
        <v>370.55</v>
      </c>
      <c r="Q114" s="359">
        <f t="shared" si="335"/>
        <v>421.54859999999996</v>
      </c>
      <c r="R114" s="359">
        <f t="shared" si="335"/>
        <v>436.78720000000004</v>
      </c>
      <c r="S114" s="359">
        <f t="shared" si="335"/>
        <v>452.26580000000001</v>
      </c>
      <c r="T114" s="359">
        <f t="shared" si="335"/>
        <v>464.41200000000003</v>
      </c>
      <c r="U114" s="359">
        <f t="shared" si="335"/>
        <v>474.81200000000001</v>
      </c>
      <c r="V114" s="359">
        <f t="shared" si="335"/>
        <v>485.21200000000005</v>
      </c>
      <c r="W114" s="359">
        <f t="shared" si="335"/>
        <v>499.88800000000003</v>
      </c>
      <c r="X114" s="359">
        <f t="shared" si="335"/>
        <v>514.56399999999996</v>
      </c>
      <c r="Y114" s="359">
        <f t="shared" si="335"/>
        <v>529.24</v>
      </c>
      <c r="Z114" s="359">
        <f t="shared" si="335"/>
        <v>543.91599999999994</v>
      </c>
      <c r="AA114" s="359">
        <f t="shared" si="335"/>
        <v>558.59199999999998</v>
      </c>
      <c r="AB114" s="359">
        <f t="shared" si="335"/>
        <v>573.26799999999992</v>
      </c>
      <c r="AC114" s="359">
        <f t="shared" si="335"/>
        <v>587.94399999999996</v>
      </c>
      <c r="AD114" s="359">
        <f t="shared" si="335"/>
        <v>602.61999999999989</v>
      </c>
      <c r="AE114" s="359">
        <f t="shared" si="335"/>
        <v>617.29599999999982</v>
      </c>
      <c r="AF114" s="359">
        <f t="shared" si="335"/>
        <v>631.97199999999987</v>
      </c>
      <c r="AG114" s="359">
        <f t="shared" si="335"/>
        <v>646.6479999999998</v>
      </c>
      <c r="AH114" s="359">
        <f t="shared" si="335"/>
        <v>661.32399999999984</v>
      </c>
      <c r="AI114" s="359">
        <f t="shared" si="335"/>
        <v>676</v>
      </c>
      <c r="AJ114" s="359">
        <f t="shared" ref="AJ114:AS114" si="336">AJ46</f>
        <v>676</v>
      </c>
      <c r="AK114" s="359">
        <f t="shared" si="336"/>
        <v>676</v>
      </c>
      <c r="AL114" s="359">
        <f t="shared" si="336"/>
        <v>676</v>
      </c>
      <c r="AM114" s="359">
        <f t="shared" si="336"/>
        <v>676</v>
      </c>
      <c r="AN114" s="359">
        <f t="shared" si="336"/>
        <v>676</v>
      </c>
      <c r="AO114" s="359">
        <f t="shared" si="336"/>
        <v>676</v>
      </c>
      <c r="AP114" s="359">
        <f t="shared" si="336"/>
        <v>676</v>
      </c>
      <c r="AQ114" s="359">
        <f t="shared" si="336"/>
        <v>676</v>
      </c>
      <c r="AR114" s="359">
        <f t="shared" si="336"/>
        <v>676</v>
      </c>
      <c r="AS114" s="359">
        <f t="shared" si="336"/>
        <v>676</v>
      </c>
      <c r="AT114" s="43"/>
      <c r="AU114" s="41"/>
    </row>
    <row r="115" spans="1:47" ht="28.5" customHeight="1" x14ac:dyDescent="0.3">
      <c r="A115" s="41"/>
      <c r="B115" s="300">
        <f>B114+1</f>
        <v>47</v>
      </c>
      <c r="C115" s="608" t="s">
        <v>654</v>
      </c>
      <c r="D115" s="608"/>
      <c r="E115" s="608"/>
      <c r="F115" s="608"/>
      <c r="G115" s="608"/>
      <c r="H115" s="43"/>
      <c r="I115" s="315" t="s">
        <v>650</v>
      </c>
      <c r="J115" s="302"/>
      <c r="K115" s="577">
        <v>0.22</v>
      </c>
      <c r="L115" s="302"/>
      <c r="M115" s="575">
        <f>$K$47</f>
        <v>0.22</v>
      </c>
      <c r="N115" s="575">
        <f t="shared" ref="N115:AS115" si="337">$K$47</f>
        <v>0.22</v>
      </c>
      <c r="O115" s="575">
        <f t="shared" si="337"/>
        <v>0.22</v>
      </c>
      <c r="P115" s="575">
        <f t="shared" si="337"/>
        <v>0.22</v>
      </c>
      <c r="Q115" s="575">
        <f t="shared" si="337"/>
        <v>0.22</v>
      </c>
      <c r="R115" s="575">
        <f t="shared" si="337"/>
        <v>0.22</v>
      </c>
      <c r="S115" s="575">
        <f t="shared" si="337"/>
        <v>0.22</v>
      </c>
      <c r="T115" s="575">
        <f t="shared" si="337"/>
        <v>0.22</v>
      </c>
      <c r="U115" s="575">
        <f t="shared" si="337"/>
        <v>0.22</v>
      </c>
      <c r="V115" s="575">
        <f t="shared" si="337"/>
        <v>0.22</v>
      </c>
      <c r="W115" s="575">
        <f t="shared" si="337"/>
        <v>0.22</v>
      </c>
      <c r="X115" s="575">
        <f t="shared" si="337"/>
        <v>0.22</v>
      </c>
      <c r="Y115" s="575">
        <f t="shared" si="337"/>
        <v>0.22</v>
      </c>
      <c r="Z115" s="575">
        <f t="shared" si="337"/>
        <v>0.22</v>
      </c>
      <c r="AA115" s="575">
        <f t="shared" si="337"/>
        <v>0.22</v>
      </c>
      <c r="AB115" s="575">
        <f t="shared" si="337"/>
        <v>0.22</v>
      </c>
      <c r="AC115" s="575">
        <f t="shared" si="337"/>
        <v>0.22</v>
      </c>
      <c r="AD115" s="575">
        <f t="shared" si="337"/>
        <v>0.22</v>
      </c>
      <c r="AE115" s="575">
        <f t="shared" si="337"/>
        <v>0.22</v>
      </c>
      <c r="AF115" s="575">
        <f t="shared" si="337"/>
        <v>0.22</v>
      </c>
      <c r="AG115" s="575">
        <f t="shared" si="337"/>
        <v>0.22</v>
      </c>
      <c r="AH115" s="575">
        <f t="shared" si="337"/>
        <v>0.22</v>
      </c>
      <c r="AI115" s="575">
        <f t="shared" si="337"/>
        <v>0.22</v>
      </c>
      <c r="AJ115" s="575">
        <f t="shared" si="337"/>
        <v>0.22</v>
      </c>
      <c r="AK115" s="575">
        <f t="shared" si="337"/>
        <v>0.22</v>
      </c>
      <c r="AL115" s="575">
        <f t="shared" si="337"/>
        <v>0.22</v>
      </c>
      <c r="AM115" s="575">
        <f t="shared" si="337"/>
        <v>0.22</v>
      </c>
      <c r="AN115" s="575">
        <f t="shared" si="337"/>
        <v>0.22</v>
      </c>
      <c r="AO115" s="575">
        <f t="shared" si="337"/>
        <v>0.22</v>
      </c>
      <c r="AP115" s="575">
        <f t="shared" si="337"/>
        <v>0.22</v>
      </c>
      <c r="AQ115" s="575">
        <f t="shared" si="337"/>
        <v>0.22</v>
      </c>
      <c r="AR115" s="575">
        <f t="shared" si="337"/>
        <v>0.22</v>
      </c>
      <c r="AS115" s="575">
        <f t="shared" si="337"/>
        <v>0.22</v>
      </c>
      <c r="AT115" s="43"/>
      <c r="AU115" s="41"/>
    </row>
    <row r="116" spans="1:47" x14ac:dyDescent="0.3">
      <c r="A116" s="41"/>
      <c r="B116" s="300">
        <f>B115+1</f>
        <v>48</v>
      </c>
      <c r="C116" s="682" t="s">
        <v>649</v>
      </c>
      <c r="D116" s="682"/>
      <c r="E116" s="682"/>
      <c r="F116" s="682"/>
      <c r="G116" s="682"/>
      <c r="H116" s="317"/>
      <c r="I116" s="313" t="s">
        <v>144</v>
      </c>
      <c r="J116" s="318"/>
      <c r="K116" s="318"/>
      <c r="L116" s="318"/>
      <c r="M116" s="365">
        <f>M115*M110*M111</f>
        <v>0</v>
      </c>
      <c r="N116" s="365">
        <f t="shared" ref="N116" si="338">N115*N110*N111</f>
        <v>0</v>
      </c>
      <c r="O116" s="576">
        <f t="shared" ref="O116" si="339">O115*O110*O111</f>
        <v>0</v>
      </c>
      <c r="P116" s="576">
        <f t="shared" ref="P116" si="340">P115*P110*P111</f>
        <v>3.8339483417772185E-2</v>
      </c>
      <c r="Q116" s="576">
        <f t="shared" ref="Q116" si="341">Q115*Q110*Q111</f>
        <v>3.8910803371592598E-2</v>
      </c>
      <c r="R116" s="576">
        <f t="shared" ref="R116" si="342">R115*R110*R111</f>
        <v>3.9482470891492392E-2</v>
      </c>
      <c r="S116" s="576">
        <f t="shared" ref="S116" si="343">S115*S110*S111</f>
        <v>4.0054277711276336E-2</v>
      </c>
      <c r="T116" s="576">
        <f t="shared" ref="T116" si="344">T115*T110*T111</f>
        <v>4.0450118532385344E-2</v>
      </c>
      <c r="U116" s="576">
        <f t="shared" ref="U116" si="345">U115*U110*U111</f>
        <v>4.0846365330290062E-2</v>
      </c>
      <c r="V116" s="576">
        <f t="shared" ref="V116" si="346">V115*V110*V111</f>
        <v>4.1242950508089106E-2</v>
      </c>
      <c r="W116" s="576">
        <f t="shared" ref="W116" si="347">W115*W110*W111</f>
        <v>4.1639806238888549E-2</v>
      </c>
      <c r="X116" s="576">
        <f t="shared" ref="X116" si="348">X115*X110*X111</f>
        <v>4.2036864512084646E-2</v>
      </c>
      <c r="Y116" s="576">
        <f t="shared" ref="Y116" si="349">Y115*Y110*Y111</f>
        <v>4.2338531567586171E-2</v>
      </c>
      <c r="Z116" s="576">
        <f t="shared" ref="Z116" si="350">Z115*Z110*Z111</f>
        <v>4.2638807841249127E-2</v>
      </c>
      <c r="AA116" s="576">
        <f t="shared" ref="AA116" si="351">AA115*AA110*AA111</f>
        <v>4.2937650019437355E-2</v>
      </c>
      <c r="AB116" s="576">
        <f t="shared" ref="AB116" si="352">AB115*AB110*AB111</f>
        <v>4.3235015707681075E-2</v>
      </c>
      <c r="AC116" s="576">
        <f t="shared" ref="AC116" si="353">AC115*AC110*AC111</f>
        <v>4.3530863450708064E-2</v>
      </c>
      <c r="AD116" s="576">
        <f t="shared" ref="AD116" si="354">AD115*AD110*AD111</f>
        <v>4.3825152751259519E-2</v>
      </c>
      <c r="AE116" s="576">
        <f t="shared" ref="AE116" si="355">AE115*AE110*AE111</f>
        <v>4.4117844087681983E-2</v>
      </c>
      <c r="AF116" s="576">
        <f t="shared" ref="AF116" si="356">AF115*AF110*AF111</f>
        <v>4.4408898930286482E-2</v>
      </c>
      <c r="AG116" s="576">
        <f t="shared" ref="AG116" si="357">AG115*AG110*AG111</f>
        <v>4.4698279756470338E-2</v>
      </c>
      <c r="AH116" s="576">
        <f t="shared" ref="AH116" si="358">AH115*AH110*AH111</f>
        <v>4.4985950064598892E-2</v>
      </c>
      <c r="AI116" s="576">
        <f t="shared" ref="AI116" si="359">AI115*AI110*AI111</f>
        <v>4.5271874386646711E-2</v>
      </c>
      <c r="AJ116" s="576">
        <f t="shared" ref="AJ116" si="360">AJ115*AJ110*AJ111</f>
        <v>4.542368605427384E-2</v>
      </c>
      <c r="AK116" s="576">
        <f t="shared" ref="AK116" si="361">AK115*AK110*AK111</f>
        <v>4.5574985874624357E-2</v>
      </c>
      <c r="AL116" s="576">
        <f t="shared" ref="AL116" si="362">AL115*AL110*AL111</f>
        <v>4.5725768829468917E-2</v>
      </c>
      <c r="AM116" s="576">
        <f t="shared" ref="AM116" si="363">AM115*AM110*AM111</f>
        <v>4.5876029986833024E-2</v>
      </c>
      <c r="AN116" s="576">
        <f t="shared" ref="AN116" si="364">AN115*AN110*AN111</f>
        <v>4.6025764501339453E-2</v>
      </c>
      <c r="AO116" s="576">
        <f t="shared" ref="AO116" si="365">AO115*AO110*AO111</f>
        <v>4.6174967614522812E-2</v>
      </c>
      <c r="AP116" s="576">
        <f t="shared" ref="AP116" si="366">AP115*AP110*AP111</f>
        <v>4.6323634655116311E-2</v>
      </c>
      <c r="AQ116" s="576">
        <f t="shared" ref="AQ116" si="367">AQ115*AQ110*AQ111</f>
        <v>4.6471761039310729E-2</v>
      </c>
      <c r="AR116" s="576">
        <f t="shared" ref="AR116" si="368">AR115*AR110*AR111</f>
        <v>4.6619342270986103E-2</v>
      </c>
      <c r="AS116" s="576">
        <f t="shared" ref="AS116" si="369">AS115*AS110*AS111</f>
        <v>4.6766373941916003E-2</v>
      </c>
      <c r="AT116" s="43"/>
      <c r="AU116" s="41"/>
    </row>
    <row r="117" spans="1:47" x14ac:dyDescent="0.3">
      <c r="A117" s="41"/>
      <c r="B117" s="300"/>
      <c r="C117" s="306"/>
      <c r="D117" s="306"/>
      <c r="E117" s="306"/>
      <c r="F117" s="306"/>
      <c r="G117" s="306"/>
      <c r="H117" s="43"/>
      <c r="I117" s="302"/>
      <c r="J117" s="302"/>
      <c r="K117" s="302"/>
      <c r="L117" s="302"/>
      <c r="M117" s="302"/>
      <c r="N117" s="302"/>
      <c r="O117" s="302"/>
      <c r="P117" s="302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1"/>
    </row>
    <row r="118" spans="1:47" x14ac:dyDescent="0.3">
      <c r="A118" s="41"/>
      <c r="B118" s="300">
        <f>B116+1</f>
        <v>49</v>
      </c>
      <c r="C118" s="608" t="s">
        <v>652</v>
      </c>
      <c r="D118" s="608"/>
      <c r="E118" s="608"/>
      <c r="F118" s="608"/>
      <c r="G118" s="608"/>
      <c r="H118" s="43"/>
      <c r="I118" s="315" t="s">
        <v>15</v>
      </c>
      <c r="J118" s="302"/>
      <c r="K118" s="302"/>
      <c r="L118" s="302"/>
      <c r="M118" s="573">
        <f t="shared" ref="M118:O119" si="370">M50</f>
        <v>3.9399999999999998E-2</v>
      </c>
      <c r="N118" s="573">
        <f t="shared" si="370"/>
        <v>0.15049999999999999</v>
      </c>
      <c r="O118" s="573">
        <f t="shared" si="370"/>
        <v>9.2799999999999994E-2</v>
      </c>
      <c r="P118" s="573">
        <v>0</v>
      </c>
      <c r="Q118" s="573">
        <v>0</v>
      </c>
      <c r="R118" s="573">
        <v>0</v>
      </c>
      <c r="S118" s="573">
        <v>0</v>
      </c>
      <c r="T118" s="573">
        <v>0</v>
      </c>
      <c r="U118" s="573">
        <v>0</v>
      </c>
      <c r="V118" s="573">
        <v>0</v>
      </c>
      <c r="W118" s="573">
        <v>0</v>
      </c>
      <c r="X118" s="573">
        <v>0</v>
      </c>
      <c r="Y118" s="573">
        <v>0</v>
      </c>
      <c r="Z118" s="573">
        <v>0</v>
      </c>
      <c r="AA118" s="573">
        <v>0</v>
      </c>
      <c r="AB118" s="573">
        <v>0</v>
      </c>
      <c r="AC118" s="573">
        <v>0</v>
      </c>
      <c r="AD118" s="573">
        <v>0</v>
      </c>
      <c r="AE118" s="573">
        <v>0</v>
      </c>
      <c r="AF118" s="573">
        <v>0</v>
      </c>
      <c r="AG118" s="573">
        <v>0</v>
      </c>
      <c r="AH118" s="573">
        <v>0</v>
      </c>
      <c r="AI118" s="573">
        <v>0</v>
      </c>
      <c r="AJ118" s="573">
        <v>1</v>
      </c>
      <c r="AK118" s="573">
        <v>2</v>
      </c>
      <c r="AL118" s="573">
        <v>3</v>
      </c>
      <c r="AM118" s="573">
        <v>4</v>
      </c>
      <c r="AN118" s="573">
        <v>5</v>
      </c>
      <c r="AO118" s="573">
        <v>6</v>
      </c>
      <c r="AP118" s="573">
        <v>7</v>
      </c>
      <c r="AQ118" s="573">
        <v>8</v>
      </c>
      <c r="AR118" s="573">
        <v>9</v>
      </c>
      <c r="AS118" s="573">
        <v>10</v>
      </c>
      <c r="AT118" s="43"/>
      <c r="AU118" s="41"/>
    </row>
    <row r="119" spans="1:47" ht="27.75" customHeight="1" x14ac:dyDescent="0.3">
      <c r="A119" s="41"/>
      <c r="B119" s="300">
        <f>B118+1</f>
        <v>50</v>
      </c>
      <c r="C119" s="608" t="s">
        <v>653</v>
      </c>
      <c r="D119" s="608"/>
      <c r="E119" s="608"/>
      <c r="F119" s="608"/>
      <c r="G119" s="608"/>
      <c r="H119" s="43"/>
      <c r="I119" s="315" t="s">
        <v>15</v>
      </c>
      <c r="J119" s="302"/>
      <c r="K119" s="302"/>
      <c r="L119" s="302"/>
      <c r="M119" s="573">
        <f t="shared" si="370"/>
        <v>4.4499999999999998E-2</v>
      </c>
      <c r="N119" s="573">
        <f t="shared" si="370"/>
        <v>4.3979991085136949E-2</v>
      </c>
      <c r="O119" s="573">
        <f t="shared" si="370"/>
        <v>4.3763494436140173E-2</v>
      </c>
      <c r="P119" s="573">
        <f>AVERAGE(M119:O119)</f>
        <v>4.4081161840425709E-2</v>
      </c>
      <c r="Q119" s="579">
        <f>P119</f>
        <v>4.4081161840425709E-2</v>
      </c>
      <c r="R119" s="579">
        <f t="shared" ref="R119:AI119" si="371">Q119</f>
        <v>4.4081161840425709E-2</v>
      </c>
      <c r="S119" s="579">
        <f t="shared" si="371"/>
        <v>4.4081161840425709E-2</v>
      </c>
      <c r="T119" s="579">
        <f t="shared" si="371"/>
        <v>4.4081161840425709E-2</v>
      </c>
      <c r="U119" s="579">
        <f t="shared" si="371"/>
        <v>4.4081161840425709E-2</v>
      </c>
      <c r="V119" s="579">
        <f t="shared" si="371"/>
        <v>4.4081161840425709E-2</v>
      </c>
      <c r="W119" s="579">
        <f t="shared" si="371"/>
        <v>4.4081161840425709E-2</v>
      </c>
      <c r="X119" s="579">
        <f t="shared" si="371"/>
        <v>4.4081161840425709E-2</v>
      </c>
      <c r="Y119" s="579">
        <f t="shared" si="371"/>
        <v>4.4081161840425709E-2</v>
      </c>
      <c r="Z119" s="579">
        <f t="shared" si="371"/>
        <v>4.4081161840425709E-2</v>
      </c>
      <c r="AA119" s="579">
        <f t="shared" si="371"/>
        <v>4.4081161840425709E-2</v>
      </c>
      <c r="AB119" s="579">
        <f t="shared" si="371"/>
        <v>4.4081161840425709E-2</v>
      </c>
      <c r="AC119" s="579">
        <f t="shared" si="371"/>
        <v>4.4081161840425709E-2</v>
      </c>
      <c r="AD119" s="579">
        <f t="shared" si="371"/>
        <v>4.4081161840425709E-2</v>
      </c>
      <c r="AE119" s="579">
        <f t="shared" si="371"/>
        <v>4.4081161840425709E-2</v>
      </c>
      <c r="AF119" s="579">
        <f t="shared" si="371"/>
        <v>4.4081161840425709E-2</v>
      </c>
      <c r="AG119" s="579">
        <f t="shared" si="371"/>
        <v>4.4081161840425709E-2</v>
      </c>
      <c r="AH119" s="579">
        <f t="shared" si="371"/>
        <v>4.4081161840425709E-2</v>
      </c>
      <c r="AI119" s="579">
        <f t="shared" si="371"/>
        <v>4.4081161840425709E-2</v>
      </c>
      <c r="AJ119" s="579">
        <f t="shared" ref="AJ119:AS119" si="372">AI119</f>
        <v>4.4081161840425709E-2</v>
      </c>
      <c r="AK119" s="579">
        <f t="shared" si="372"/>
        <v>4.4081161840425709E-2</v>
      </c>
      <c r="AL119" s="579">
        <f t="shared" si="372"/>
        <v>4.4081161840425709E-2</v>
      </c>
      <c r="AM119" s="579">
        <f t="shared" si="372"/>
        <v>4.4081161840425709E-2</v>
      </c>
      <c r="AN119" s="579">
        <f t="shared" si="372"/>
        <v>4.4081161840425709E-2</v>
      </c>
      <c r="AO119" s="579">
        <f t="shared" si="372"/>
        <v>4.4081161840425709E-2</v>
      </c>
      <c r="AP119" s="579">
        <f t="shared" si="372"/>
        <v>4.4081161840425709E-2</v>
      </c>
      <c r="AQ119" s="579">
        <f t="shared" si="372"/>
        <v>4.4081161840425709E-2</v>
      </c>
      <c r="AR119" s="579">
        <f t="shared" si="372"/>
        <v>4.4081161840425709E-2</v>
      </c>
      <c r="AS119" s="579">
        <f t="shared" si="372"/>
        <v>4.4081161840425709E-2</v>
      </c>
      <c r="AT119" s="43"/>
      <c r="AU119" s="41"/>
    </row>
    <row r="120" spans="1:47" x14ac:dyDescent="0.3">
      <c r="A120" s="41"/>
      <c r="B120" s="300"/>
      <c r="C120" s="306"/>
      <c r="D120" s="306"/>
      <c r="E120" s="306"/>
      <c r="F120" s="306"/>
      <c r="G120" s="306"/>
      <c r="H120" s="43"/>
      <c r="I120" s="302"/>
      <c r="J120" s="302"/>
      <c r="K120" s="302"/>
      <c r="L120" s="302"/>
      <c r="M120" s="302"/>
      <c r="N120" s="302"/>
      <c r="O120" s="302"/>
      <c r="P120" s="302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1"/>
    </row>
    <row r="121" spans="1:47" ht="30" customHeight="1" x14ac:dyDescent="0.3">
      <c r="A121" s="41"/>
      <c r="B121" s="300">
        <f>B119+1</f>
        <v>51</v>
      </c>
      <c r="C121" s="679" t="s">
        <v>651</v>
      </c>
      <c r="D121" s="680"/>
      <c r="E121" s="680"/>
      <c r="F121" s="680"/>
      <c r="G121" s="681"/>
      <c r="H121" s="317"/>
      <c r="I121" s="313" t="s">
        <v>395</v>
      </c>
      <c r="J121" s="318"/>
      <c r="K121" s="318"/>
      <c r="L121" s="318"/>
      <c r="M121" s="576">
        <f>('1.Input'!$K$61*('5.O&amp;M'!M112+'5.O&amp;M'!M116+4.14*(1+M118))+24.67*(1+M118))*(1+M119)*'1.Input'!$K$61</f>
        <v>142.81943372020257</v>
      </c>
      <c r="N121" s="576">
        <f>('1.Input'!$K$61*('5.O&amp;M'!N112+'5.O&amp;M'!N116+4.14*(1+N118))+24.67*(1+N118))*(1+N119)*'1.Input'!$K$61</f>
        <v>245.17857123661193</v>
      </c>
      <c r="O121" s="576">
        <f>('1.Input'!$K$61*('5.O&amp;M'!O112+'5.O&amp;M'!O116+4.14*(1+O118))+24.67*(1+O118))*(1+O119)*'1.Input'!$K$61</f>
        <v>292.34794773558207</v>
      </c>
      <c r="P121" s="576">
        <f>('1.Input'!$K$61*('5.O&amp;M'!P112+'5.O&amp;M'!P116+4.14*(1+P118))+24.67*(1+P118))*(1+P119)*'1.Input'!$K$61</f>
        <v>319.47711764141724</v>
      </c>
      <c r="Q121" s="576">
        <f>('1.Input'!$K$61*('5.O&amp;M'!Q112+'5.O&amp;M'!Q116+4.14*(1+Q118))+24.67*(1+Q118))*(1+Q119)*'1.Input'!$K$61</f>
        <v>300.35900006414874</v>
      </c>
      <c r="R121" s="576">
        <f>('1.Input'!$K$61*('5.O&amp;M'!R112+'5.O&amp;M'!R116+4.14*(1+R118))+24.67*(1+R118))*(1+R119)*'1.Input'!$K$61</f>
        <v>297.41417085560738</v>
      </c>
      <c r="S121" s="576">
        <f>('1.Input'!$K$61*('5.O&amp;M'!S112+'5.O&amp;M'!S116+4.14*(1+S118))+24.67*(1+S118))*(1+S119)*'1.Input'!$K$61</f>
        <v>294.29061352700415</v>
      </c>
      <c r="T121" s="576">
        <f>('1.Input'!$K$61*('5.O&amp;M'!T112+'5.O&amp;M'!T116+4.14*(1+T118))+24.67*(1+T118))*(1+T119)*'1.Input'!$K$61</f>
        <v>290.64256611621437</v>
      </c>
      <c r="U121" s="576">
        <f>('1.Input'!$K$61*('5.O&amp;M'!U112+'5.O&amp;M'!U116+4.14*(1+U118))+24.67*(1+U118))*(1+U119)*'1.Input'!$K$61</f>
        <v>286.73847665200719</v>
      </c>
      <c r="V121" s="576">
        <f>('1.Input'!$K$61*('5.O&amp;M'!V112+'5.O&amp;M'!V116+4.14*(1+V118))+24.67*(1+V118))*(1+V119)*'1.Input'!$K$61</f>
        <v>282.75829818889741</v>
      </c>
      <c r="W121" s="576">
        <f>('1.Input'!$K$61*('5.O&amp;M'!W112+'5.O&amp;M'!W116+4.14*(1+W118))+24.67*(1+W118))*(1+W119)*'1.Input'!$K$61</f>
        <v>278.70195028884876</v>
      </c>
      <c r="X121" s="576">
        <f>('1.Input'!$K$61*('5.O&amp;M'!X112+'5.O&amp;M'!X116+4.14*(1+X118))+24.67*(1+X118))*(1+X119)*'1.Input'!$K$61</f>
        <v>277.72267238422427</v>
      </c>
      <c r="Y121" s="576">
        <f>('1.Input'!$K$61*('5.O&amp;M'!Y112+'5.O&amp;M'!Y116+4.14*(1+Y118))+24.67*(1+Y118))*(1+Y119)*'1.Input'!$K$61</f>
        <v>276.75461809830824</v>
      </c>
      <c r="Z121" s="576">
        <f>('1.Input'!$K$61*('5.O&amp;M'!Z112+'5.O&amp;M'!Z116+4.14*(1+Z118))+24.67*(1+Z118))*(1+Z119)*'1.Input'!$K$61</f>
        <v>275.77436889421301</v>
      </c>
      <c r="AA121" s="576">
        <f>('1.Input'!$K$61*('5.O&amp;M'!AA112+'5.O&amp;M'!AA116+4.14*(1+AA118))+24.67*(1+AA118))*(1+AA119)*'1.Input'!$K$61</f>
        <v>274.78202657268571</v>
      </c>
      <c r="AB121" s="576">
        <f>('1.Input'!$K$61*('5.O&amp;M'!AB112+'5.O&amp;M'!AB116+4.14*(1+AB118))+24.67*(1+AB118))*(1+AB119)*'1.Input'!$K$61</f>
        <v>273.77769623528434</v>
      </c>
      <c r="AC121" s="576">
        <f>('1.Input'!$K$61*('5.O&amp;M'!AC112+'5.O&amp;M'!AC116+4.14*(1+AC118))+24.67*(1+AC118))*(1+AC119)*'1.Input'!$K$61</f>
        <v>273.6727501326846</v>
      </c>
      <c r="AD121" s="576">
        <f>('1.Input'!$K$61*('5.O&amp;M'!AD112+'5.O&amp;M'!AD116+4.14*(1+AD118))+24.67*(1+AD118))*(1+AD119)*'1.Input'!$K$61</f>
        <v>273.56835685655642</v>
      </c>
      <c r="AE121" s="576">
        <f>('1.Input'!$K$61*('5.O&amp;M'!AE112+'5.O&amp;M'!AE116+4.14*(1+AE118))+24.67*(1+AE118))*(1+AE119)*'1.Input'!$K$61</f>
        <v>273.46453042642048</v>
      </c>
      <c r="AF121" s="576">
        <f>('1.Input'!$K$61*('5.O&amp;M'!AF112+'5.O&amp;M'!AF116+4.14*(1+AF118))+24.67*(1+AF118))*(1+AF119)*'1.Input'!$K$61</f>
        <v>273.3612845099176</v>
      </c>
      <c r="AG121" s="576">
        <f>('1.Input'!$K$61*('5.O&amp;M'!AG112+'5.O&amp;M'!AG116+4.14*(1+AG118))+24.67*(1+AG118))*(1+AG119)*'1.Input'!$K$61</f>
        <v>273.25863241744463</v>
      </c>
      <c r="AH121" s="576">
        <f>('1.Input'!$K$61*('5.O&amp;M'!AH112+'5.O&amp;M'!AH116+4.14*(1+AH118))+24.67*(1+AH118))*(1+AH119)*'1.Input'!$K$61</f>
        <v>273.15658709723073</v>
      </c>
      <c r="AI121" s="576">
        <f>('1.Input'!$K$61*('5.O&amp;M'!AI112+'5.O&amp;M'!AI116+4.14*(1+AI118))+24.67*(1+AI118))*(1+AI119)*'1.Input'!$K$61</f>
        <v>273.05516113085224</v>
      </c>
      <c r="AJ121" s="576">
        <f>('1.Input'!$K$61*('5.O&amp;M'!AJ112+'5.O&amp;M'!AJ116+4.14*(1+AJ118))+24.67*(1+AJ118))*(1+AJ119)*'1.Input'!$K$61</f>
        <v>308.80373493839056</v>
      </c>
      <c r="AK121" s="576">
        <f>('1.Input'!$K$61*('5.O&amp;M'!AK112+'5.O&amp;M'!AK116+4.14*(1+AK118))+24.67*(1+AK118))*(1+AK119)*'1.Input'!$K$61</f>
        <v>344.55249031356999</v>
      </c>
      <c r="AL121" s="576">
        <f>('1.Input'!$K$61*('5.O&amp;M'!AL112+'5.O&amp;M'!AL116+4.14*(1+AL118))+24.67*(1+AL118))*(1+AL119)*'1.Input'!$K$61</f>
        <v>380.30142903650739</v>
      </c>
      <c r="AM121" s="576">
        <f>('1.Input'!$K$61*('5.O&amp;M'!AM112+'5.O&amp;M'!AM116+4.14*(1+AM118))+24.67*(1+AM118))*(1+AM119)*'1.Input'!$K$61</f>
        <v>416.05055285672273</v>
      </c>
      <c r="AN121" s="576">
        <f>('1.Input'!$K$61*('5.O&amp;M'!AN112+'5.O&amp;M'!AN116+4.14*(1+AN118))+24.67*(1+AN118))*(1+AN119)*'1.Input'!$K$61</f>
        <v>451.79986349301726</v>
      </c>
      <c r="AO121" s="576">
        <f>('1.Input'!$K$61*('5.O&amp;M'!AO112+'5.O&amp;M'!AO116+4.14*(1+AO118))+24.67*(1+AO118))*(1+AO119)*'1.Input'!$K$61</f>
        <v>487.54936263336185</v>
      </c>
      <c r="AP121" s="576">
        <f>('1.Input'!$K$61*('5.O&amp;M'!AP112+'5.O&amp;M'!AP116+4.14*(1+AP118))+24.67*(1+AP118))*(1+AP119)*'1.Input'!$K$61</f>
        <v>523.29905193479544</v>
      </c>
      <c r="AQ121" s="576">
        <f>('1.Input'!$K$61*('5.O&amp;M'!AQ112+'5.O&amp;M'!AQ116+4.14*(1+AQ118))+24.67*(1+AQ118))*(1+AQ119)*'1.Input'!$K$61</f>
        <v>559.04893302333335</v>
      </c>
      <c r="AR121" s="576">
        <f>('1.Input'!$K$61*('5.O&amp;M'!AR112+'5.O&amp;M'!AR116+4.14*(1+AR118))+24.67*(1+AR118))*(1+AR119)*'1.Input'!$K$61</f>
        <v>594.7990074938848</v>
      </c>
      <c r="AS121" s="576">
        <f>('1.Input'!$K$61*('5.O&amp;M'!AS112+'5.O&amp;M'!AS116+4.14*(1+AS118))+24.67*(1+AS118))*(1+AS119)*'1.Input'!$K$61</f>
        <v>630.54927691018008</v>
      </c>
      <c r="AT121" s="43"/>
      <c r="AU121" s="41"/>
    </row>
    <row r="122" spans="1:47" ht="16.5" customHeight="1" x14ac:dyDescent="0.3">
      <c r="A122" s="41"/>
      <c r="B122" s="300">
        <f>B121+1</f>
        <v>52</v>
      </c>
      <c r="C122" s="679" t="s">
        <v>657</v>
      </c>
      <c r="D122" s="680"/>
      <c r="E122" s="680"/>
      <c r="F122" s="680"/>
      <c r="G122" s="681"/>
      <c r="H122" s="317"/>
      <c r="I122" s="313" t="s">
        <v>175</v>
      </c>
      <c r="J122" s="318"/>
      <c r="K122" s="318"/>
      <c r="L122" s="318"/>
      <c r="M122" s="576">
        <f>'6.Venituri'!M93</f>
        <v>160081</v>
      </c>
      <c r="N122" s="576">
        <f>'6.Venituri'!N93</f>
        <v>149844</v>
      </c>
      <c r="O122" s="576">
        <f>'6.Venituri'!O93</f>
        <v>147588.92251894993</v>
      </c>
      <c r="P122" s="576">
        <f>'6.Venituri'!P93</f>
        <v>145398.00744123664</v>
      </c>
      <c r="Q122" s="576">
        <f>'6.Venituri'!Q93</f>
        <v>143269.32639982333</v>
      </c>
      <c r="R122" s="576">
        <f>'6.Venituri'!R93</f>
        <v>141201.01154665404</v>
      </c>
      <c r="S122" s="576">
        <f>'6.Venituri'!S93</f>
        <v>139191.25359053322</v>
      </c>
      <c r="T122" s="576">
        <f>'6.Venituri'!T93</f>
        <v>137833.25434100238</v>
      </c>
      <c r="U122" s="576">
        <f>'6.Venituri'!U93</f>
        <v>136500.2234794804</v>
      </c>
      <c r="V122" s="576">
        <f>'6.Venituri'!V93</f>
        <v>135191.70160070324</v>
      </c>
      <c r="W122" s="576">
        <f>'6.Venituri'!W93</f>
        <v>133907.23775813036</v>
      </c>
      <c r="X122" s="576">
        <f>'6.Venituri'!X93</f>
        <v>132646.38930809489</v>
      </c>
      <c r="Y122" s="576">
        <f>'6.Venituri'!Y93</f>
        <v>131704.26234685464</v>
      </c>
      <c r="Z122" s="576">
        <f>'6.Venituri'!Z93</f>
        <v>130779.71783002853</v>
      </c>
      <c r="AA122" s="576">
        <f>'6.Venituri'!AA93</f>
        <v>129872.42762524771</v>
      </c>
      <c r="AB122" s="576">
        <f>'6.Venituri'!AB93</f>
        <v>128982.06972391362</v>
      </c>
      <c r="AC122" s="576">
        <f>'6.Venituri'!AC93</f>
        <v>128108.32812691314</v>
      </c>
      <c r="AD122" s="576">
        <f>'6.Venituri'!AD93</f>
        <v>127250.89273246672</v>
      </c>
      <c r="AE122" s="576">
        <f>'6.Venituri'!AE93</f>
        <v>126409.45922606913</v>
      </c>
      <c r="AF122" s="576">
        <f>'6.Venituri'!AF93</f>
        <v>125583.72897248471</v>
      </c>
      <c r="AG122" s="576">
        <f>'6.Venituri'!AG93</f>
        <v>124773.4089097578</v>
      </c>
      <c r="AH122" s="576">
        <f>'6.Venituri'!AH93</f>
        <v>123978.21144520152</v>
      </c>
      <c r="AI122" s="576">
        <f>'6.Venituri'!AI93</f>
        <v>123197.85435332754</v>
      </c>
      <c r="AJ122" s="576">
        <f>'6.Venituri'!AJ93</f>
        <v>122787.51614695275</v>
      </c>
      <c r="AK122" s="576">
        <f>'6.Venituri'!AK93</f>
        <v>122381.28132264176</v>
      </c>
      <c r="AL122" s="576">
        <f>'6.Venituri'!AL93</f>
        <v>121979.10884657386</v>
      </c>
      <c r="AM122" s="576">
        <f>'6.Venituri'!AM93</f>
        <v>121580.95809526663</v>
      </c>
      <c r="AN122" s="576">
        <f>'6.Venituri'!AN93</f>
        <v>121186.78885147249</v>
      </c>
      <c r="AO122" s="576">
        <f>'6.Venituri'!AO93</f>
        <v>120796.56130011627</v>
      </c>
      <c r="AP122" s="576">
        <f>'6.Venituri'!AP93</f>
        <v>120410.23602427363</v>
      </c>
      <c r="AQ122" s="576">
        <f>'6.Venituri'!AQ93</f>
        <v>120027.77400118941</v>
      </c>
      <c r="AR122" s="576">
        <f>'6.Venituri'!AR93</f>
        <v>119649.13659833603</v>
      </c>
      <c r="AS122" s="576">
        <f>'6.Venituri'!AS93</f>
        <v>119274.28556951119</v>
      </c>
      <c r="AT122" s="43"/>
      <c r="AU122" s="41"/>
    </row>
    <row r="123" spans="1:47" x14ac:dyDescent="0.3">
      <c r="A123" s="41"/>
      <c r="B123" s="300"/>
      <c r="C123" s="306"/>
      <c r="D123" s="306"/>
      <c r="E123" s="306"/>
      <c r="F123" s="306"/>
      <c r="G123" s="306"/>
      <c r="H123" s="43"/>
      <c r="I123" s="302"/>
      <c r="J123" s="302"/>
      <c r="K123" s="302"/>
      <c r="L123" s="302"/>
      <c r="M123" s="578"/>
      <c r="N123" s="302"/>
      <c r="O123" s="302"/>
      <c r="P123" s="302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1"/>
    </row>
    <row r="124" spans="1:47" x14ac:dyDescent="0.3">
      <c r="A124" s="41"/>
      <c r="B124" s="300">
        <f>B122+1</f>
        <v>53</v>
      </c>
      <c r="C124" s="679" t="s">
        <v>364</v>
      </c>
      <c r="D124" s="680"/>
      <c r="E124" s="680"/>
      <c r="F124" s="680"/>
      <c r="G124" s="681"/>
      <c r="H124" s="317"/>
      <c r="I124" s="313" t="s">
        <v>407</v>
      </c>
      <c r="J124" s="302"/>
      <c r="K124" s="302"/>
      <c r="L124" s="302"/>
      <c r="M124" s="321">
        <f>M121*M122/1000</f>
        <v>22862.677769363745</v>
      </c>
      <c r="N124" s="321">
        <f t="shared" ref="N124:AI124" si="373">N121*N122/1000</f>
        <v>36738.537828378881</v>
      </c>
      <c r="O124" s="321">
        <f t="shared" si="373"/>
        <v>43147.318606920846</v>
      </c>
      <c r="P124" s="321">
        <f t="shared" si="373"/>
        <v>46451.33632813162</v>
      </c>
      <c r="Q124" s="321">
        <f t="shared" si="373"/>
        <v>43032.231617315083</v>
      </c>
      <c r="R124" s="321">
        <f t="shared" si="373"/>
        <v>41995.181773121156</v>
      </c>
      <c r="S124" s="321">
        <f t="shared" si="373"/>
        <v>40962.679416750841</v>
      </c>
      <c r="T124" s="321">
        <f t="shared" si="373"/>
        <v>40060.210737817775</v>
      </c>
      <c r="U124" s="321">
        <f t="shared" si="373"/>
        <v>39139.866143164756</v>
      </c>
      <c r="V124" s="321">
        <f t="shared" si="373"/>
        <v>38226.575473876088</v>
      </c>
      <c r="W124" s="321">
        <f t="shared" si="373"/>
        <v>37320.208320983496</v>
      </c>
      <c r="X124" s="321">
        <f t="shared" si="373"/>
        <v>36838.909720762305</v>
      </c>
      <c r="Y124" s="321">
        <f t="shared" si="373"/>
        <v>36449.762827723156</v>
      </c>
      <c r="Z124" s="321">
        <f t="shared" si="373"/>
        <v>36065.694148739378</v>
      </c>
      <c r="AA124" s="321">
        <f t="shared" si="373"/>
        <v>35686.608858780019</v>
      </c>
      <c r="AB124" s="321">
        <f t="shared" si="373"/>
        <v>35312.413904671885</v>
      </c>
      <c r="AC124" s="321">
        <f t="shared" si="373"/>
        <v>35059.758473392671</v>
      </c>
      <c r="AD124" s="321">
        <f t="shared" si="373"/>
        <v>34811.817633350831</v>
      </c>
      <c r="AE124" s="321">
        <f t="shared" si="373"/>
        <v>34568.503408714743</v>
      </c>
      <c r="AF124" s="321">
        <f t="shared" si="373"/>
        <v>34329.729465463774</v>
      </c>
      <c r="AG124" s="321">
        <f t="shared" si="373"/>
        <v>34095.411080743012</v>
      </c>
      <c r="AH124" s="321">
        <f t="shared" si="373"/>
        <v>33865.46511279008</v>
      </c>
      <c r="AI124" s="321">
        <f t="shared" si="373"/>
        <v>33639.809971423121</v>
      </c>
      <c r="AJ124" s="321">
        <f t="shared" ref="AJ124:AS124" si="374">AJ121*AJ122/1000</f>
        <v>37917.243589986952</v>
      </c>
      <c r="AK124" s="321">
        <f t="shared" si="374"/>
        <v>42166.775247481812</v>
      </c>
      <c r="AL124" s="321">
        <f t="shared" si="374"/>
        <v>46388.829406951721</v>
      </c>
      <c r="AM124" s="321">
        <f t="shared" si="374"/>
        <v>50583.824832385719</v>
      </c>
      <c r="AN124" s="321">
        <f t="shared" si="374"/>
        <v>54752.174660252378</v>
      </c>
      <c r="AO124" s="321">
        <f t="shared" si="374"/>
        <v>58894.286470173516</v>
      </c>
      <c r="AP124" s="321">
        <f t="shared" si="374"/>
        <v>63010.562354747344</v>
      </c>
      <c r="AQ124" s="321">
        <f t="shared" si="374"/>
        <v>67101.398988530724</v>
      </c>
      <c r="AR124" s="321">
        <f t="shared" si="374"/>
        <v>71167.187696190522</v>
      </c>
      <c r="AS124" s="321">
        <f t="shared" si="374"/>
        <v>75208.314519833613</v>
      </c>
      <c r="AT124" s="43"/>
      <c r="AU124" s="41"/>
    </row>
    <row r="125" spans="1:47" ht="17.25" thickBot="1" x14ac:dyDescent="0.35">
      <c r="A125" s="41"/>
      <c r="B125" s="300"/>
      <c r="C125" s="306"/>
      <c r="D125" s="306"/>
      <c r="E125" s="306"/>
      <c r="F125" s="306"/>
      <c r="G125" s="306"/>
      <c r="H125" s="43"/>
      <c r="I125" s="302"/>
      <c r="J125" s="302"/>
      <c r="K125" s="302"/>
      <c r="L125" s="30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1"/>
    </row>
    <row r="126" spans="1:47" ht="25.5" customHeight="1" thickBot="1" x14ac:dyDescent="0.35">
      <c r="A126" s="41"/>
      <c r="C126" s="684" t="s">
        <v>581</v>
      </c>
      <c r="D126" s="685"/>
      <c r="E126" s="685"/>
      <c r="F126" s="685"/>
      <c r="G126" s="686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1"/>
    </row>
    <row r="127" spans="1:47" x14ac:dyDescent="0.3">
      <c r="A127" s="41"/>
      <c r="B127" s="300">
        <f>B124+1</f>
        <v>54</v>
      </c>
      <c r="C127" s="598" t="str">
        <f t="shared" ref="C127:C138" si="375">C59</f>
        <v>Costuri de personal</v>
      </c>
      <c r="D127" s="599"/>
      <c r="E127" s="599"/>
      <c r="F127" s="599"/>
      <c r="G127" s="600"/>
      <c r="H127" s="43"/>
      <c r="I127" s="315" t="str">
        <f t="shared" ref="I127:I138" si="376">I59</f>
        <v>lei/an</v>
      </c>
      <c r="J127" s="43"/>
      <c r="K127" s="43"/>
      <c r="L127" s="43"/>
      <c r="M127" s="316">
        <f>M128*M129</f>
        <v>6694656</v>
      </c>
      <c r="N127" s="316">
        <f t="shared" ref="N127:AH127" si="377">N128*N129</f>
        <v>7752565.9199999999</v>
      </c>
      <c r="O127" s="316">
        <f t="shared" si="377"/>
        <v>10164278</v>
      </c>
      <c r="P127" s="316">
        <f t="shared" si="377"/>
        <v>10479370.617999999</v>
      </c>
      <c r="Q127" s="316">
        <f t="shared" si="377"/>
        <v>10877586.701483998</v>
      </c>
      <c r="R127" s="316">
        <f t="shared" si="377"/>
        <v>11323567.756244842</v>
      </c>
      <c r="S127" s="316">
        <f t="shared" si="377"/>
        <v>11742539.7632259</v>
      </c>
      <c r="T127" s="316">
        <f t="shared" si="377"/>
        <v>12153528.654938806</v>
      </c>
      <c r="U127" s="316">
        <f t="shared" si="377"/>
        <v>12518134.51458697</v>
      </c>
      <c r="V127" s="316">
        <f t="shared" si="377"/>
        <v>12893678.55002458</v>
      </c>
      <c r="W127" s="316">
        <f t="shared" si="377"/>
        <v>13280488.906525319</v>
      </c>
      <c r="X127" s="316">
        <f t="shared" si="377"/>
        <v>13678903.573721079</v>
      </c>
      <c r="Y127" s="316">
        <f t="shared" si="377"/>
        <v>14089270.680932712</v>
      </c>
      <c r="Z127" s="316">
        <f t="shared" si="377"/>
        <v>14511948.801360693</v>
      </c>
      <c r="AA127" s="316">
        <f t="shared" si="377"/>
        <v>14947307.265401512</v>
      </c>
      <c r="AB127" s="316">
        <f t="shared" si="377"/>
        <v>15395726.483363558</v>
      </c>
      <c r="AC127" s="316">
        <f t="shared" si="377"/>
        <v>15857598.277864467</v>
      </c>
      <c r="AD127" s="316">
        <f t="shared" si="377"/>
        <v>16333326.2262004</v>
      </c>
      <c r="AE127" s="316">
        <f t="shared" si="377"/>
        <v>16823326.01298641</v>
      </c>
      <c r="AF127" s="316">
        <f t="shared" si="377"/>
        <v>17328025.793376002</v>
      </c>
      <c r="AG127" s="316">
        <f t="shared" si="377"/>
        <v>17847866.567177285</v>
      </c>
      <c r="AH127" s="316">
        <f t="shared" si="377"/>
        <v>18383302.564192601</v>
      </c>
      <c r="AI127" s="316">
        <f t="shared" ref="AI127:AS127" si="378">AI128*AI129</f>
        <v>18934801.641118381</v>
      </c>
      <c r="AJ127" s="316">
        <f t="shared" si="378"/>
        <v>19502845.69035193</v>
      </c>
      <c r="AK127" s="316">
        <f t="shared" si="378"/>
        <v>20087931.061062492</v>
      </c>
      <c r="AL127" s="316">
        <f t="shared" si="378"/>
        <v>20690568.992894366</v>
      </c>
      <c r="AM127" s="316">
        <f t="shared" si="378"/>
        <v>21311286.062681194</v>
      </c>
      <c r="AN127" s="316">
        <f t="shared" si="378"/>
        <v>21950624.644561633</v>
      </c>
      <c r="AO127" s="316">
        <f t="shared" si="378"/>
        <v>22609143.383898482</v>
      </c>
      <c r="AP127" s="316">
        <f t="shared" si="378"/>
        <v>23287417.685415436</v>
      </c>
      <c r="AQ127" s="316">
        <f t="shared" si="378"/>
        <v>23986040.2159779</v>
      </c>
      <c r="AR127" s="316">
        <f t="shared" si="378"/>
        <v>24705621.422457237</v>
      </c>
      <c r="AS127" s="316">
        <f t="shared" si="378"/>
        <v>25446790.065130956</v>
      </c>
      <c r="AT127" s="43"/>
      <c r="AU127" s="41"/>
    </row>
    <row r="128" spans="1:47" outlineLevel="1" x14ac:dyDescent="0.3">
      <c r="A128" s="41"/>
      <c r="B128" s="300">
        <f>B127+1</f>
        <v>55</v>
      </c>
      <c r="C128" s="688" t="str">
        <f t="shared" si="375"/>
        <v>Numar de personal</v>
      </c>
      <c r="D128" s="689"/>
      <c r="E128" s="689"/>
      <c r="F128" s="689"/>
      <c r="G128" s="690"/>
      <c r="H128" s="43"/>
      <c r="I128" s="315" t="str">
        <f t="shared" si="376"/>
        <v>nr/an</v>
      </c>
      <c r="J128" s="43"/>
      <c r="K128" s="43"/>
      <c r="L128" s="43"/>
      <c r="M128" s="316">
        <f t="shared" ref="M128:Q129" si="379">M60</f>
        <v>92</v>
      </c>
      <c r="N128" s="316">
        <f t="shared" si="379"/>
        <v>96</v>
      </c>
      <c r="O128" s="316">
        <f t="shared" si="379"/>
        <v>95</v>
      </c>
      <c r="P128" s="316">
        <f t="shared" si="379"/>
        <v>95</v>
      </c>
      <c r="Q128" s="316">
        <f t="shared" si="379"/>
        <v>95</v>
      </c>
      <c r="R128" s="316">
        <f t="shared" ref="R128:AI128" si="380">Q128</f>
        <v>95</v>
      </c>
      <c r="S128" s="316">
        <f t="shared" si="380"/>
        <v>95</v>
      </c>
      <c r="T128" s="316">
        <f t="shared" si="380"/>
        <v>95</v>
      </c>
      <c r="U128" s="316">
        <f t="shared" si="380"/>
        <v>95</v>
      </c>
      <c r="V128" s="316">
        <f t="shared" si="380"/>
        <v>95</v>
      </c>
      <c r="W128" s="316">
        <f t="shared" si="380"/>
        <v>95</v>
      </c>
      <c r="X128" s="316">
        <f t="shared" si="380"/>
        <v>95</v>
      </c>
      <c r="Y128" s="316">
        <f t="shared" si="380"/>
        <v>95</v>
      </c>
      <c r="Z128" s="316">
        <f t="shared" si="380"/>
        <v>95</v>
      </c>
      <c r="AA128" s="316">
        <f t="shared" si="380"/>
        <v>95</v>
      </c>
      <c r="AB128" s="316">
        <f t="shared" si="380"/>
        <v>95</v>
      </c>
      <c r="AC128" s="316">
        <f t="shared" si="380"/>
        <v>95</v>
      </c>
      <c r="AD128" s="316">
        <f t="shared" si="380"/>
        <v>95</v>
      </c>
      <c r="AE128" s="316">
        <f t="shared" si="380"/>
        <v>95</v>
      </c>
      <c r="AF128" s="316">
        <f t="shared" si="380"/>
        <v>95</v>
      </c>
      <c r="AG128" s="316">
        <f t="shared" si="380"/>
        <v>95</v>
      </c>
      <c r="AH128" s="316">
        <f t="shared" si="380"/>
        <v>95</v>
      </c>
      <c r="AI128" s="316">
        <f t="shared" si="380"/>
        <v>95</v>
      </c>
      <c r="AJ128" s="316">
        <f t="shared" ref="AJ128" si="381">AI128</f>
        <v>95</v>
      </c>
      <c r="AK128" s="316">
        <f t="shared" ref="AK128" si="382">AJ128</f>
        <v>95</v>
      </c>
      <c r="AL128" s="316">
        <f t="shared" ref="AL128" si="383">AK128</f>
        <v>95</v>
      </c>
      <c r="AM128" s="316">
        <f t="shared" ref="AM128" si="384">AL128</f>
        <v>95</v>
      </c>
      <c r="AN128" s="316">
        <f t="shared" ref="AN128" si="385">AM128</f>
        <v>95</v>
      </c>
      <c r="AO128" s="316">
        <f t="shared" ref="AO128" si="386">AN128</f>
        <v>95</v>
      </c>
      <c r="AP128" s="316">
        <f t="shared" ref="AP128" si="387">AO128</f>
        <v>95</v>
      </c>
      <c r="AQ128" s="316">
        <f t="shared" ref="AQ128" si="388">AP128</f>
        <v>95</v>
      </c>
      <c r="AR128" s="316">
        <f t="shared" ref="AR128" si="389">AQ128</f>
        <v>95</v>
      </c>
      <c r="AS128" s="316">
        <f t="shared" ref="AS128" si="390">AR128</f>
        <v>95</v>
      </c>
      <c r="AT128" s="43"/>
      <c r="AU128" s="41"/>
    </row>
    <row r="129" spans="1:47" outlineLevel="1" x14ac:dyDescent="0.3">
      <c r="A129" s="41"/>
      <c r="B129" s="300">
        <f t="shared" ref="B129:B131" si="391">B128+1</f>
        <v>56</v>
      </c>
      <c r="C129" s="688" t="str">
        <f t="shared" si="375"/>
        <v>Salariul mediu brut (inclusiv contributiile sociale)</v>
      </c>
      <c r="D129" s="689"/>
      <c r="E129" s="689"/>
      <c r="F129" s="689"/>
      <c r="G129" s="690"/>
      <c r="H129" s="43"/>
      <c r="I129" s="315" t="str">
        <f t="shared" si="376"/>
        <v>lei/pers/an</v>
      </c>
      <c r="J129" s="43"/>
      <c r="K129" s="43"/>
      <c r="L129" s="43"/>
      <c r="M129" s="316">
        <f t="shared" si="379"/>
        <v>72768</v>
      </c>
      <c r="N129" s="316">
        <f t="shared" si="379"/>
        <v>80755.895000000004</v>
      </c>
      <c r="O129" s="316">
        <f t="shared" si="379"/>
        <v>106992.4</v>
      </c>
      <c r="P129" s="316">
        <f t="shared" si="379"/>
        <v>110309.16439999998</v>
      </c>
      <c r="Q129" s="316">
        <f t="shared" si="379"/>
        <v>114500.91264719998</v>
      </c>
      <c r="R129" s="316">
        <f>Q129*(1+'1.Input'!R35)</f>
        <v>119195.45006573517</v>
      </c>
      <c r="S129" s="316">
        <f>R129*(1+'1.Input'!S35)</f>
        <v>123605.68171816737</v>
      </c>
      <c r="T129" s="316">
        <f>S129*(1+'1.Input'!T35)</f>
        <v>127931.88057830321</v>
      </c>
      <c r="U129" s="316">
        <f>T129*(1+'1.Input'!U35)</f>
        <v>131769.83699565232</v>
      </c>
      <c r="V129" s="316">
        <f>U129*(1+'1.Input'!V35)</f>
        <v>135722.9321055219</v>
      </c>
      <c r="W129" s="316">
        <f>V129*(1+'1.Input'!W35)</f>
        <v>139794.62006868757</v>
      </c>
      <c r="X129" s="316">
        <f>W129*(1+'1.Input'!X35)</f>
        <v>143988.45867074819</v>
      </c>
      <c r="Y129" s="316">
        <f>X129*(1+'1.Input'!Y35)</f>
        <v>148308.11243087065</v>
      </c>
      <c r="Z129" s="316">
        <f>Y129*(1+'1.Input'!Z35)</f>
        <v>152757.35580379676</v>
      </c>
      <c r="AA129" s="316">
        <f>Z129*(1+'1.Input'!AA35)</f>
        <v>157340.07647791065</v>
      </c>
      <c r="AB129" s="316">
        <f>AA129*(1+'1.Input'!AB35)</f>
        <v>162060.27877224798</v>
      </c>
      <c r="AC129" s="316">
        <f>AB129*(1+'1.Input'!AC35)</f>
        <v>166922.08713541544</v>
      </c>
      <c r="AD129" s="316">
        <f>AC129*(1+'1.Input'!AD35)</f>
        <v>171929.74974947789</v>
      </c>
      <c r="AE129" s="316">
        <f>AD129*(1+'1.Input'!AE35)</f>
        <v>177087.64224196222</v>
      </c>
      <c r="AF129" s="316">
        <f>AE129*(1+'1.Input'!AF35)</f>
        <v>182400.27150922109</v>
      </c>
      <c r="AG129" s="316">
        <f>AF129*(1+'1.Input'!AG35)</f>
        <v>187872.27965449772</v>
      </c>
      <c r="AH129" s="316">
        <f>AG129*(1+'1.Input'!AH35)</f>
        <v>193508.44804413265</v>
      </c>
      <c r="AI129" s="316">
        <f>AH129*(1+'1.Input'!AI35)</f>
        <v>199313.70148545664</v>
      </c>
      <c r="AJ129" s="316">
        <f>AI129*(1+'1.Input'!AJ35)</f>
        <v>205293.11253002033</v>
      </c>
      <c r="AK129" s="316">
        <f>AJ129*(1+'1.Input'!AK35)</f>
        <v>211451.90590592095</v>
      </c>
      <c r="AL129" s="316">
        <f>AK129*(1+'1.Input'!AL35)</f>
        <v>217795.46308309858</v>
      </c>
      <c r="AM129" s="316">
        <f>AL129*(1+'1.Input'!AM35)</f>
        <v>224329.32697559154</v>
      </c>
      <c r="AN129" s="316">
        <f>AM129*(1+'1.Input'!AN35)</f>
        <v>231059.2067848593</v>
      </c>
      <c r="AO129" s="316">
        <f>AN129*(1+'1.Input'!AO35)</f>
        <v>237990.98298840507</v>
      </c>
      <c r="AP129" s="316">
        <f>AO129*(1+'1.Input'!AP35)</f>
        <v>245130.71247805722</v>
      </c>
      <c r="AQ129" s="316">
        <f>AP129*(1+'1.Input'!AQ35)</f>
        <v>252484.63385239895</v>
      </c>
      <c r="AR129" s="316">
        <f>AQ129*(1+'1.Input'!AR35)</f>
        <v>260059.17286797092</v>
      </c>
      <c r="AS129" s="316">
        <f>AR129*(1+'1.Input'!AS35)</f>
        <v>267860.94805401005</v>
      </c>
      <c r="AT129" s="43"/>
      <c r="AU129" s="41"/>
    </row>
    <row r="130" spans="1:47" ht="14.25" customHeight="1" x14ac:dyDescent="0.3">
      <c r="A130" s="41"/>
      <c r="B130" s="300">
        <f t="shared" si="391"/>
        <v>57</v>
      </c>
      <c r="C130" s="598" t="str">
        <f t="shared" si="375"/>
        <v>Costuri cu consumul de energie electrica</v>
      </c>
      <c r="D130" s="599"/>
      <c r="E130" s="599"/>
      <c r="F130" s="599"/>
      <c r="G130" s="600"/>
      <c r="H130" s="317"/>
      <c r="I130" s="315" t="str">
        <f t="shared" si="376"/>
        <v>lei/an</v>
      </c>
      <c r="J130" s="318"/>
      <c r="K130" s="318"/>
      <c r="L130" s="318"/>
      <c r="M130" s="316">
        <f>M131*M132</f>
        <v>6634866.5355321765</v>
      </c>
      <c r="N130" s="316">
        <f t="shared" ref="N130:AH130" si="392">N131*N132</f>
        <v>8264997.3728431873</v>
      </c>
      <c r="O130" s="316">
        <f t="shared" si="392"/>
        <v>6306906.3419262189</v>
      </c>
      <c r="P130" s="316">
        <f t="shared" si="392"/>
        <v>7636228.4473310933</v>
      </c>
      <c r="Q130" s="316">
        <f t="shared" si="392"/>
        <v>5637653.2958516767</v>
      </c>
      <c r="R130" s="316">
        <f t="shared" si="392"/>
        <v>6043210.4195802445</v>
      </c>
      <c r="S130" s="316">
        <f t="shared" si="392"/>
        <v>5800847.4616642445</v>
      </c>
      <c r="T130" s="316">
        <f t="shared" si="392"/>
        <v>5583152.4919344541</v>
      </c>
      <c r="U130" s="316">
        <f t="shared" si="392"/>
        <v>5362367.6627911273</v>
      </c>
      <c r="V130" s="316">
        <f t="shared" si="392"/>
        <v>5137891.1452194219</v>
      </c>
      <c r="W130" s="316">
        <f t="shared" si="392"/>
        <v>4908990.4923556503</v>
      </c>
      <c r="X130" s="316">
        <f t="shared" si="392"/>
        <v>4883258.6105253985</v>
      </c>
      <c r="Y130" s="316">
        <f t="shared" si="392"/>
        <v>4866817.0105875228</v>
      </c>
      <c r="Z130" s="316">
        <f t="shared" si="392"/>
        <v>4848576.1632794105</v>
      </c>
      <c r="AA130" s="316">
        <f t="shared" si="392"/>
        <v>4828513.9206114784</v>
      </c>
      <c r="AB130" s="316">
        <f t="shared" si="392"/>
        <v>4806604.4704879848</v>
      </c>
      <c r="AC130" s="316">
        <f t="shared" si="392"/>
        <v>4850061.9804827971</v>
      </c>
      <c r="AD130" s="316">
        <f t="shared" si="392"/>
        <v>4893106.0709924083</v>
      </c>
      <c r="AE130" s="316">
        <f t="shared" si="392"/>
        <v>4935754.0086164791</v>
      </c>
      <c r="AF130" s="316">
        <f t="shared" si="392"/>
        <v>4978022.5594682517</v>
      </c>
      <c r="AG130" s="316">
        <f t="shared" si="392"/>
        <v>5019928.0018414576</v>
      </c>
      <c r="AH130" s="316">
        <f t="shared" si="392"/>
        <v>5061486.1385787074</v>
      </c>
      <c r="AI130" s="316">
        <f t="shared" ref="AI130:AS130" si="393">AI131*AI132</f>
        <v>5102712.3091481728</v>
      </c>
      <c r="AJ130" s="316">
        <f t="shared" si="393"/>
        <v>5158619.1814875472</v>
      </c>
      <c r="AK130" s="316">
        <f t="shared" si="393"/>
        <v>5214211.7947334349</v>
      </c>
      <c r="AL130" s="316">
        <f t="shared" si="393"/>
        <v>5269495.7161989007</v>
      </c>
      <c r="AM130" s="316">
        <f t="shared" si="393"/>
        <v>5324476.4332766524</v>
      </c>
      <c r="AN130" s="316">
        <f t="shared" si="393"/>
        <v>5379159.3544807192</v>
      </c>
      <c r="AO130" s="316">
        <f t="shared" si="393"/>
        <v>5433549.8104753001</v>
      </c>
      <c r="AP130" s="316">
        <f t="shared" si="393"/>
        <v>5487653.0550908847</v>
      </c>
      <c r="AQ130" s="316">
        <f t="shared" si="393"/>
        <v>5541474.2663278813</v>
      </c>
      <c r="AR130" s="316">
        <f t="shared" si="393"/>
        <v>5595018.5473478204</v>
      </c>
      <c r="AS130" s="316">
        <f t="shared" si="393"/>
        <v>5648290.9274523519</v>
      </c>
      <c r="AT130" s="43"/>
      <c r="AU130" s="41"/>
    </row>
    <row r="131" spans="1:47" ht="14.25" customHeight="1" outlineLevel="1" x14ac:dyDescent="0.3">
      <c r="A131" s="41"/>
      <c r="B131" s="300">
        <f t="shared" si="391"/>
        <v>58</v>
      </c>
      <c r="C131" s="688" t="str">
        <f t="shared" si="375"/>
        <v>Energie electrica</v>
      </c>
      <c r="D131" s="689"/>
      <c r="E131" s="689"/>
      <c r="F131" s="689"/>
      <c r="G131" s="690"/>
      <c r="H131" s="43"/>
      <c r="I131" s="315" t="str">
        <f t="shared" si="376"/>
        <v>Mwh/an</v>
      </c>
      <c r="J131" s="302"/>
      <c r="K131" s="302"/>
      <c r="L131" s="302"/>
      <c r="M131" s="316">
        <f t="shared" ref="M131:Q132" si="394">M63</f>
        <v>9381.7487528911861</v>
      </c>
      <c r="N131" s="316">
        <f t="shared" si="394"/>
        <v>9328</v>
      </c>
      <c r="O131" s="316">
        <f t="shared" si="394"/>
        <v>8440.268644513435</v>
      </c>
      <c r="P131" s="316">
        <f t="shared" si="394"/>
        <v>8314.5276097331225</v>
      </c>
      <c r="Q131" s="316">
        <f t="shared" si="394"/>
        <v>8192.3583118049246</v>
      </c>
      <c r="R131" s="316">
        <f>'2.BilantNOPRO'!L49*1000</f>
        <v>8073.6535511619677</v>
      </c>
      <c r="S131" s="316">
        <f>'2.BilantNOPRO'!M49*1000</f>
        <v>7958.3094889337044</v>
      </c>
      <c r="T131" s="316">
        <f>'2.BilantNOPRO'!N49*1000</f>
        <v>7880.3711732938664</v>
      </c>
      <c r="U131" s="316">
        <f>'2.BilantNOPRO'!O49*1000</f>
        <v>7803.8658437961994</v>
      </c>
      <c r="V131" s="316">
        <f>'2.BilantNOPRO'!P49*1000</f>
        <v>7728.7671342461017</v>
      </c>
      <c r="W131" s="316">
        <f>'2.BilantNOPRO'!Q49*1000</f>
        <v>7655.0491639121819</v>
      </c>
      <c r="X131" s="316">
        <f>'2.BilantNOPRO'!R49*1000</f>
        <v>7582.6865285817039</v>
      </c>
      <c r="Y131" s="316">
        <f>'2.BilantNOPRO'!S49*1000</f>
        <v>7528.6159622663608</v>
      </c>
      <c r="Z131" s="316">
        <f>'2.BilantNOPRO'!T49*1000</f>
        <v>7475.5544878948785</v>
      </c>
      <c r="AA131" s="316">
        <f>'2.BilantNOPRO'!U49*1000</f>
        <v>7423.4832732888517</v>
      </c>
      <c r="AB131" s="316">
        <f>'2.BilantNOPRO'!V49*1000</f>
        <v>7372.3838377254151</v>
      </c>
      <c r="AC131" s="316">
        <f>'2.BilantNOPRO'!W49*1000</f>
        <v>7322.238045378178</v>
      </c>
      <c r="AD131" s="316">
        <f>'2.BilantNOPRO'!X49*1000</f>
        <v>7273.0280988806226</v>
      </c>
      <c r="AE131" s="316">
        <f>'2.BilantNOPRO'!Y49*1000</f>
        <v>7224.7365330095763</v>
      </c>
      <c r="AF131" s="316">
        <f>'2.BilantNOPRO'!Z49*1000</f>
        <v>7177.3462084865969</v>
      </c>
      <c r="AG131" s="316">
        <f>'2.BilantNOPRO'!AA49*1000</f>
        <v>7130.8403058950307</v>
      </c>
      <c r="AH131" s="316">
        <f>'2.BilantNOPRO'!AB49*1000</f>
        <v>7085.2023197105818</v>
      </c>
      <c r="AI131" s="316">
        <f>'2.BilantNOPRO'!AC49*1000</f>
        <v>7040.4160524432982</v>
      </c>
      <c r="AJ131" s="316">
        <f>'2.BilantNOPRO'!AD49*1000</f>
        <v>7016.8659152406681</v>
      </c>
      <c r="AK131" s="316">
        <f>'2.BilantNOPRO'!AE49*1000</f>
        <v>6993.5512794100596</v>
      </c>
      <c r="AL131" s="316">
        <f>'2.BilantNOPRO'!AF49*1000</f>
        <v>6970.4697899377625</v>
      </c>
      <c r="AM131" s="316">
        <f>'2.BilantNOPRO'!AG49*1000</f>
        <v>6947.6191153601867</v>
      </c>
      <c r="AN131" s="316">
        <f>'2.BilantNOPRO'!AH49*1000</f>
        <v>6924.9969475283851</v>
      </c>
      <c r="AO131" s="316">
        <f>'2.BilantNOPRO'!AI49*1000</f>
        <v>6902.6010013749046</v>
      </c>
      <c r="AP131" s="316">
        <f>'2.BilantNOPRO'!AJ49*1000</f>
        <v>6880.4290146829599</v>
      </c>
      <c r="AQ131" s="316">
        <f>'2.BilantNOPRO'!AK49*1000</f>
        <v>6858.4787478579337</v>
      </c>
      <c r="AR131" s="316">
        <f>'2.BilantNOPRO'!AL49*1000</f>
        <v>6836.7479837011551</v>
      </c>
      <c r="AS131" s="316">
        <f>'2.BilantNOPRO'!AM49*1000</f>
        <v>6815.2345271859467</v>
      </c>
      <c r="AT131" s="43"/>
      <c r="AU131" s="41"/>
    </row>
    <row r="132" spans="1:47" ht="14.25" customHeight="1" outlineLevel="1" x14ac:dyDescent="0.3">
      <c r="A132" s="41"/>
      <c r="B132" s="300">
        <f t="shared" ref="B132:B139" si="395">B131+1</f>
        <v>59</v>
      </c>
      <c r="C132" s="688" t="str">
        <f t="shared" si="375"/>
        <v>Pret achizitie energie electrica</v>
      </c>
      <c r="D132" s="689"/>
      <c r="E132" s="689"/>
      <c r="F132" s="689"/>
      <c r="G132" s="690"/>
      <c r="H132" s="43"/>
      <c r="I132" s="315" t="str">
        <f t="shared" si="376"/>
        <v>lei/Mwh</v>
      </c>
      <c r="J132" s="302"/>
      <c r="K132" s="302"/>
      <c r="L132" s="302"/>
      <c r="M132" s="316">
        <f t="shared" si="394"/>
        <v>707.21</v>
      </c>
      <c r="N132" s="316">
        <f t="shared" si="394"/>
        <v>886.04174237169673</v>
      </c>
      <c r="O132" s="316">
        <f t="shared" si="394"/>
        <v>747.24</v>
      </c>
      <c r="P132" s="316">
        <f t="shared" si="394"/>
        <v>918.41999999999985</v>
      </c>
      <c r="Q132" s="316">
        <f t="shared" si="394"/>
        <v>688.16</v>
      </c>
      <c r="R132" s="316">
        <f t="shared" ref="R132:AI132" si="396">R64</f>
        <v>748.51</v>
      </c>
      <c r="S132" s="316">
        <f t="shared" si="396"/>
        <v>728.9044827586207</v>
      </c>
      <c r="T132" s="316">
        <f t="shared" si="396"/>
        <v>708.48851775604726</v>
      </c>
      <c r="U132" s="316">
        <f t="shared" si="396"/>
        <v>687.14247145266108</v>
      </c>
      <c r="V132" s="316">
        <f t="shared" si="396"/>
        <v>664.77499657784608</v>
      </c>
      <c r="W132" s="316">
        <f t="shared" si="396"/>
        <v>641.27484843570437</v>
      </c>
      <c r="X132" s="316">
        <f t="shared" si="396"/>
        <v>644.00111914408558</v>
      </c>
      <c r="Y132" s="316">
        <f t="shared" si="396"/>
        <v>646.44245834561752</v>
      </c>
      <c r="Z132" s="316">
        <f t="shared" si="396"/>
        <v>648.59083980067044</v>
      </c>
      <c r="AA132" s="316">
        <f t="shared" si="396"/>
        <v>650.43777198036105</v>
      </c>
      <c r="AB132" s="316">
        <f t="shared" si="396"/>
        <v>651.97425639885773</v>
      </c>
      <c r="AC132" s="316">
        <f t="shared" si="396"/>
        <v>662.37425639885782</v>
      </c>
      <c r="AD132" s="316">
        <f t="shared" si="396"/>
        <v>672.77425639885769</v>
      </c>
      <c r="AE132" s="316">
        <f t="shared" si="396"/>
        <v>683.17425639885778</v>
      </c>
      <c r="AF132" s="316">
        <f t="shared" si="396"/>
        <v>693.57425639885764</v>
      </c>
      <c r="AG132" s="316">
        <f t="shared" si="396"/>
        <v>703.97425639885773</v>
      </c>
      <c r="AH132" s="316">
        <f t="shared" si="396"/>
        <v>714.3742563988576</v>
      </c>
      <c r="AI132" s="316">
        <f t="shared" si="396"/>
        <v>724.77425639885769</v>
      </c>
      <c r="AJ132" s="316">
        <f t="shared" ref="AJ132:AS132" si="397">AJ64</f>
        <v>735.17425639885755</v>
      </c>
      <c r="AK132" s="316">
        <f t="shared" si="397"/>
        <v>745.57425639885764</v>
      </c>
      <c r="AL132" s="316">
        <f t="shared" si="397"/>
        <v>755.97425639885751</v>
      </c>
      <c r="AM132" s="316">
        <f t="shared" si="397"/>
        <v>766.3742563988576</v>
      </c>
      <c r="AN132" s="316">
        <f t="shared" si="397"/>
        <v>776.77425639885746</v>
      </c>
      <c r="AO132" s="316">
        <f t="shared" si="397"/>
        <v>787.17425639885755</v>
      </c>
      <c r="AP132" s="316">
        <f t="shared" si="397"/>
        <v>797.57425639885741</v>
      </c>
      <c r="AQ132" s="316">
        <f t="shared" si="397"/>
        <v>807.97425639885751</v>
      </c>
      <c r="AR132" s="316">
        <f t="shared" si="397"/>
        <v>818.37425639885737</v>
      </c>
      <c r="AS132" s="316">
        <f t="shared" si="397"/>
        <v>828.77425639885746</v>
      </c>
      <c r="AT132" s="43"/>
      <c r="AU132" s="41"/>
    </row>
    <row r="133" spans="1:47" ht="14.25" customHeight="1" x14ac:dyDescent="0.3">
      <c r="A133" s="41"/>
      <c r="B133" s="300">
        <f t="shared" si="395"/>
        <v>60</v>
      </c>
      <c r="C133" s="598" t="str">
        <f t="shared" si="375"/>
        <v>Apa potabila PT/canalizare / Apa bruta sau pretratata</v>
      </c>
      <c r="D133" s="599"/>
      <c r="E133" s="599"/>
      <c r="F133" s="599"/>
      <c r="G133" s="600"/>
      <c r="H133" s="43"/>
      <c r="I133" s="315" t="str">
        <f t="shared" si="376"/>
        <v>lei/an</v>
      </c>
      <c r="J133" s="302"/>
      <c r="K133" s="302"/>
      <c r="L133" s="302"/>
      <c r="M133" s="316">
        <f t="shared" ref="M133:M138" si="398">M65</f>
        <v>2202433</v>
      </c>
      <c r="N133" s="316">
        <f t="shared" ref="N133:O133" si="399">N65</f>
        <v>2760600</v>
      </c>
      <c r="O133" s="316">
        <f t="shared" si="399"/>
        <v>2686986.2584643508</v>
      </c>
      <c r="P133" s="316">
        <f>$O$133/'6.Venituri'!$O$90*'6.Venituri'!P90</f>
        <v>2615467.0057501406</v>
      </c>
      <c r="Q133" s="316">
        <f>$O$133/'6.Venituri'!$O$90*'6.Venituri'!Q90</f>
        <v>2545979.2931055762</v>
      </c>
      <c r="R133" s="316">
        <f>$O$133/'6.Venituri'!$O$90*'6.Venituri'!R90</f>
        <v>2478462.1473334264</v>
      </c>
      <c r="S133" s="316">
        <f>$O$133/'6.Venituri'!$O$90*'6.Venituri'!S90</f>
        <v>2412856.5067404462</v>
      </c>
      <c r="T133" s="316">
        <f>$O$133/'6.Venituri'!$O$90*'6.Venituri'!T90</f>
        <v>2368526.5861055157</v>
      </c>
      <c r="U133" s="316">
        <f>$O$133/'6.Venituri'!$O$90*'6.Venituri'!U90</f>
        <v>2325011.7223707978</v>
      </c>
      <c r="V133" s="316">
        <f>$O$133/'6.Venituri'!$O$90*'6.Venituri'!V90</f>
        <v>2282296.9189161556</v>
      </c>
      <c r="W133" s="316">
        <f>$O$133/'6.Venituri'!$O$90*'6.Venituri'!W90</f>
        <v>2240367.4552442385</v>
      </c>
      <c r="X133" s="316">
        <f>$O$133/'6.Venituri'!$O$90*'6.Venituri'!X90</f>
        <v>2199208.881892995</v>
      </c>
      <c r="Y133" s="316">
        <f>$O$133/'6.Venituri'!$O$90*'6.Venituri'!Y90</f>
        <v>2168454.5103907739</v>
      </c>
      <c r="Z133" s="316">
        <f>$O$133/'6.Venituri'!$O$90*'6.Venituri'!Z90</f>
        <v>2138274.0923467129</v>
      </c>
      <c r="AA133" s="316">
        <f>$O$133/'6.Venituri'!$O$90*'6.Venituri'!AA90</f>
        <v>2108656.9163543996</v>
      </c>
      <c r="AB133" s="316">
        <f>$O$133/'6.Venituri'!$O$90*'6.Venituri'!AB90</f>
        <v>2079592.4709090434</v>
      </c>
      <c r="AC133" s="316">
        <f>$O$133/'6.Venituri'!$O$90*'6.Venituri'!AC90</f>
        <v>2051070.4406768102</v>
      </c>
      <c r="AD133" s="316">
        <f>$O$133/'6.Venituri'!$O$90*'6.Venituri'!AD90</f>
        <v>2023080.7028337864</v>
      </c>
      <c r="AE133" s="316">
        <f>$O$133/'6.Venituri'!$O$90*'6.Venituri'!AE90</f>
        <v>1995613.3234732584</v>
      </c>
      <c r="AF133" s="316">
        <f>$O$133/'6.Venituri'!$O$90*'6.Venituri'!AF90</f>
        <v>1968658.5540800458</v>
      </c>
      <c r="AG133" s="316">
        <f>$O$133/'6.Venituri'!$O$90*'6.Venituri'!AG90</f>
        <v>1942206.8280706345</v>
      </c>
      <c r="AH133" s="316">
        <f>$O$133/'6.Venituri'!$O$90*'6.Venituri'!AH90</f>
        <v>1916248.7573978736</v>
      </c>
      <c r="AI133" s="316">
        <f>$O$133/'6.Venituri'!$O$90*'6.Venituri'!AI90</f>
        <v>1890775.1292190431</v>
      </c>
      <c r="AJ133" s="316">
        <f>$O$133/'6.Venituri'!$O$90*'6.Venituri'!AJ90</f>
        <v>1877380.2321833062</v>
      </c>
      <c r="AK133" s="316">
        <f>$O$133/'6.Venituri'!$O$90*'6.Venituri'!AK90</f>
        <v>1864119.2841179273</v>
      </c>
      <c r="AL133" s="316">
        <f>$O$133/'6.Venituri'!$O$90*'6.Venituri'!AL90</f>
        <v>1850990.9455332023</v>
      </c>
      <c r="AM133" s="316">
        <f>$O$133/'6.Venituri'!$O$90*'6.Venituri'!AM90</f>
        <v>1837993.8903343242</v>
      </c>
      <c r="AN133" s="316">
        <f>$O$133/'6.Venituri'!$O$90*'6.Venituri'!AN90</f>
        <v>1825126.8056874347</v>
      </c>
      <c r="AO133" s="316">
        <f>$O$133/'6.Venituri'!$O$90*'6.Venituri'!AO90</f>
        <v>1812388.3918870143</v>
      </c>
      <c r="AP133" s="316">
        <f>$O$133/'6.Venituri'!$O$90*'6.Venituri'!AP90</f>
        <v>1799777.3622245984</v>
      </c>
      <c r="AQ133" s="316">
        <f>$O$133/'6.Venituri'!$O$90*'6.Venituri'!AQ90</f>
        <v>1787292.4428588061</v>
      </c>
      <c r="AR133" s="316">
        <f>$O$133/'6.Venituri'!$O$90*'6.Venituri'!AR90</f>
        <v>1774932.3726866723</v>
      </c>
      <c r="AS133" s="316">
        <f>$O$133/'6.Venituri'!$O$90*'6.Venituri'!AS90</f>
        <v>1762695.9032162598</v>
      </c>
      <c r="AT133" s="43"/>
      <c r="AU133" s="41"/>
    </row>
    <row r="134" spans="1:47" ht="14.25" customHeight="1" x14ac:dyDescent="0.3">
      <c r="A134" s="41"/>
      <c r="B134" s="300">
        <f>B132+1</f>
        <v>60</v>
      </c>
      <c r="C134" s="598" t="str">
        <f t="shared" si="375"/>
        <v xml:space="preserve">Costuri cu mentenanta si reparatiile activelor </v>
      </c>
      <c r="D134" s="599"/>
      <c r="E134" s="599"/>
      <c r="F134" s="599"/>
      <c r="G134" s="600"/>
      <c r="H134" s="43"/>
      <c r="I134" s="315" t="str">
        <f t="shared" si="376"/>
        <v>lei/an</v>
      </c>
      <c r="J134" s="302"/>
      <c r="K134" s="322">
        <v>1.05</v>
      </c>
      <c r="L134" s="302"/>
      <c r="M134" s="316">
        <f t="shared" si="398"/>
        <v>1116300</v>
      </c>
      <c r="N134" s="316">
        <f t="shared" ref="N134:Q138" si="400">N66</f>
        <v>2025000</v>
      </c>
      <c r="O134" s="316">
        <f t="shared" si="400"/>
        <v>1828328</v>
      </c>
      <c r="P134" s="316">
        <f t="shared" si="400"/>
        <v>1846611.28</v>
      </c>
      <c r="Q134" s="316">
        <f t="shared" si="400"/>
        <v>1865077.3928</v>
      </c>
      <c r="R134" s="316">
        <f t="shared" ref="R134:AI134" si="401">Q134*$K$134</f>
        <v>1958331.2624400002</v>
      </c>
      <c r="S134" s="316">
        <f t="shared" si="401"/>
        <v>2056247.8255620003</v>
      </c>
      <c r="T134" s="316">
        <f t="shared" si="401"/>
        <v>2159060.2168401005</v>
      </c>
      <c r="U134" s="316">
        <f t="shared" si="401"/>
        <v>2267013.2276821057</v>
      </c>
      <c r="V134" s="316">
        <f t="shared" si="401"/>
        <v>2380363.8890662109</v>
      </c>
      <c r="W134" s="316">
        <f t="shared" si="401"/>
        <v>2499382.0835195216</v>
      </c>
      <c r="X134" s="316">
        <f t="shared" si="401"/>
        <v>2624351.1876954976</v>
      </c>
      <c r="Y134" s="316">
        <f t="shared" si="401"/>
        <v>2755568.7470802725</v>
      </c>
      <c r="Z134" s="316">
        <f t="shared" si="401"/>
        <v>2893347.1844342863</v>
      </c>
      <c r="AA134" s="316">
        <f t="shared" si="401"/>
        <v>3038014.5436560009</v>
      </c>
      <c r="AB134" s="316">
        <f t="shared" si="401"/>
        <v>3189915.2708388008</v>
      </c>
      <c r="AC134" s="316">
        <f t="shared" si="401"/>
        <v>3349411.034380741</v>
      </c>
      <c r="AD134" s="316">
        <f t="shared" si="401"/>
        <v>3516881.5860997783</v>
      </c>
      <c r="AE134" s="316">
        <f t="shared" si="401"/>
        <v>3692725.6654047673</v>
      </c>
      <c r="AF134" s="316">
        <f t="shared" si="401"/>
        <v>3877361.9486750057</v>
      </c>
      <c r="AG134" s="316">
        <f t="shared" si="401"/>
        <v>4071230.0461087562</v>
      </c>
      <c r="AH134" s="316">
        <f t="shared" si="401"/>
        <v>4274791.548414194</v>
      </c>
      <c r="AI134" s="316">
        <f t="shared" si="401"/>
        <v>4488531.1258349037</v>
      </c>
      <c r="AJ134" s="316">
        <f t="shared" ref="AJ134:AS134" si="402">AI134*$K$134</f>
        <v>4712957.6821266487</v>
      </c>
      <c r="AK134" s="316">
        <f t="shared" si="402"/>
        <v>4948605.5662329812</v>
      </c>
      <c r="AL134" s="316">
        <f t="shared" si="402"/>
        <v>5196035.8445446305</v>
      </c>
      <c r="AM134" s="316">
        <f t="shared" si="402"/>
        <v>5455837.6367718624</v>
      </c>
      <c r="AN134" s="316">
        <f t="shared" si="402"/>
        <v>5728629.518610456</v>
      </c>
      <c r="AO134" s="316">
        <f t="shared" si="402"/>
        <v>6015060.9945409792</v>
      </c>
      <c r="AP134" s="316">
        <f t="shared" si="402"/>
        <v>6315814.0442680288</v>
      </c>
      <c r="AQ134" s="316">
        <f t="shared" si="402"/>
        <v>6631604.7464814307</v>
      </c>
      <c r="AR134" s="316">
        <f t="shared" si="402"/>
        <v>6963184.9838055028</v>
      </c>
      <c r="AS134" s="316">
        <f t="shared" si="402"/>
        <v>7311344.2329957783</v>
      </c>
      <c r="AT134" s="43"/>
      <c r="AU134" s="41"/>
    </row>
    <row r="135" spans="1:47" ht="14.25" customHeight="1" x14ac:dyDescent="0.3">
      <c r="A135" s="41"/>
      <c r="B135" s="300">
        <f t="shared" si="395"/>
        <v>61</v>
      </c>
      <c r="C135" s="598" t="str">
        <f t="shared" si="375"/>
        <v>Costuri materiale</v>
      </c>
      <c r="D135" s="599"/>
      <c r="E135" s="599"/>
      <c r="F135" s="599"/>
      <c r="G135" s="600"/>
      <c r="H135" s="43"/>
      <c r="I135" s="315" t="str">
        <f t="shared" si="376"/>
        <v>lei/an</v>
      </c>
      <c r="J135" s="302"/>
      <c r="K135" s="302"/>
      <c r="L135" s="302"/>
      <c r="M135" s="316">
        <f t="shared" si="398"/>
        <v>541155</v>
      </c>
      <c r="N135" s="316">
        <f t="shared" si="400"/>
        <v>252000</v>
      </c>
      <c r="O135" s="316">
        <f t="shared" si="400"/>
        <v>245280.20616279665</v>
      </c>
      <c r="P135" s="316">
        <f t="shared" si="400"/>
        <v>238751.60669746995</v>
      </c>
      <c r="Q135" s="316">
        <f t="shared" si="400"/>
        <v>232408.45535847469</v>
      </c>
      <c r="R135" s="316">
        <f>$O$135/'2.BilantNOPRO'!$I$22*'2.BilantNOPRO'!J22</f>
        <v>238751.60669746995</v>
      </c>
      <c r="S135" s="316">
        <f>$O$135/'2.BilantNOPRO'!$I$22*'2.BilantNOPRO'!K22</f>
        <v>232408.45535847469</v>
      </c>
      <c r="T135" s="316">
        <f>$O$135/'2.BilantNOPRO'!$I$22*'2.BilantNOPRO'!L22</f>
        <v>226245.18623778291</v>
      </c>
      <c r="U135" s="316">
        <f>$O$135/'2.BilantNOPRO'!$I$22*'2.BilantNOPRO'!M22</f>
        <v>220256.40791805854</v>
      </c>
      <c r="V135" s="316">
        <f>$O$135/'2.BilantNOPRO'!$I$22*'2.BilantNOPRO'!N22</f>
        <v>216209.77312851915</v>
      </c>
      <c r="W135" s="316">
        <f>$O$135/'2.BilantNOPRO'!$I$22*'2.BilantNOPRO'!O22</f>
        <v>212237.54040333297</v>
      </c>
      <c r="X135" s="316">
        <f>$O$135/'2.BilantNOPRO'!$I$22*'2.BilantNOPRO'!P22</f>
        <v>208338.34078347863</v>
      </c>
      <c r="Y135" s="316">
        <f>$O$135/'2.BilantNOPRO'!$I$22*'2.BilantNOPRO'!Q22</f>
        <v>204510.83051566622</v>
      </c>
      <c r="Z135" s="316">
        <f>$O$135/'2.BilantNOPRO'!$I$22*'2.BilantNOPRO'!R22</f>
        <v>200753.69058792826</v>
      </c>
      <c r="AA135" s="316">
        <f>$O$135/'2.BilantNOPRO'!$I$22*'2.BilantNOPRO'!S22</f>
        <v>197946.29305892743</v>
      </c>
      <c r="AB135" s="316">
        <f>$O$135/'2.BilantNOPRO'!$I$22*'2.BilantNOPRO'!T22</f>
        <v>195191.2885863116</v>
      </c>
      <c r="AC135" s="316">
        <f>$O$135/'2.BilantNOPRO'!$I$22*'2.BilantNOPRO'!U22</f>
        <v>192487.69938466596</v>
      </c>
      <c r="AD135" s="316">
        <f>$O$135/'2.BilantNOPRO'!$I$22*'2.BilantNOPRO'!V22</f>
        <v>189834.56591649604</v>
      </c>
      <c r="AE135" s="316">
        <f>$O$135/'2.BilantNOPRO'!$I$22*'2.BilantNOPRO'!W22</f>
        <v>187230.94655167582</v>
      </c>
      <c r="AF135" s="316">
        <f>$O$135/'2.BilantNOPRO'!$I$22*'2.BilantNOPRO'!X22</f>
        <v>184675.91723325156</v>
      </c>
      <c r="AG135" s="316">
        <f>$O$135/'2.BilantNOPRO'!$I$22*'2.BilantNOPRO'!Y22</f>
        <v>182168.57114948242</v>
      </c>
      <c r="AH135" s="316">
        <f>$O$135/'2.BilantNOPRO'!$I$22*'2.BilantNOPRO'!Z22</f>
        <v>179708.01841200161</v>
      </c>
      <c r="AI135" s="316">
        <f>$O$135/'2.BilantNOPRO'!$I$22*'2.BilantNOPRO'!AA22</f>
        <v>177293.38573998405</v>
      </c>
      <c r="AJ135" s="316">
        <f>$O$135/'2.BilantNOPRO'!$I$22*'2.BilantNOPRO'!AB22</f>
        <v>174923.81615020797</v>
      </c>
      <c r="AK135" s="316">
        <f>$O$135/'2.BilantNOPRO'!$I$22*'2.BilantNOPRO'!AC22</f>
        <v>172598.46865290112</v>
      </c>
      <c r="AL135" s="316">
        <f>$O$135/'2.BilantNOPRO'!$I$22*'2.BilantNOPRO'!AD22</f>
        <v>171375.72212931726</v>
      </c>
      <c r="AM135" s="316">
        <f>$O$135/'2.BilantNOPRO'!$I$22*'2.BilantNOPRO'!AE22</f>
        <v>170165.20307096926</v>
      </c>
      <c r="AN135" s="316">
        <f>$O$135/'2.BilantNOPRO'!$I$22*'2.BilantNOPRO'!AF22</f>
        <v>168966.78920320474</v>
      </c>
      <c r="AO135" s="316">
        <f>$O$135/'2.BilantNOPRO'!$I$22*'2.BilantNOPRO'!AG22</f>
        <v>167780.35947411784</v>
      </c>
      <c r="AP135" s="316">
        <f>$O$135/'2.BilantNOPRO'!$I$22*'2.BilantNOPRO'!AH22</f>
        <v>166605.7940423218</v>
      </c>
      <c r="AQ135" s="316">
        <f>$O$135/'2.BilantNOPRO'!$I$22*'2.BilantNOPRO'!AI22</f>
        <v>165442.97426484377</v>
      </c>
      <c r="AR135" s="316">
        <f>$O$135/'2.BilantNOPRO'!$I$22*'2.BilantNOPRO'!AJ22</f>
        <v>164291.78268514047</v>
      </c>
      <c r="AS135" s="316">
        <f>$O$135/'2.BilantNOPRO'!$I$22*'2.BilantNOPRO'!AK22</f>
        <v>163152.10302123424</v>
      </c>
      <c r="AT135" s="43"/>
      <c r="AU135" s="41"/>
    </row>
    <row r="136" spans="1:47" ht="14.25" customHeight="1" x14ac:dyDescent="0.3">
      <c r="A136" s="41"/>
      <c r="B136" s="300">
        <f t="shared" si="395"/>
        <v>62</v>
      </c>
      <c r="C136" s="598" t="str">
        <f t="shared" si="375"/>
        <v>Costuri cu amortizarea</v>
      </c>
      <c r="D136" s="599"/>
      <c r="E136" s="599"/>
      <c r="F136" s="599"/>
      <c r="G136" s="600"/>
      <c r="H136" s="43"/>
      <c r="I136" s="315" t="str">
        <f t="shared" si="376"/>
        <v>lei/an</v>
      </c>
      <c r="J136" s="302"/>
      <c r="K136" s="302"/>
      <c r="L136" s="302"/>
      <c r="M136" s="316">
        <f t="shared" si="398"/>
        <v>164814</v>
      </c>
      <c r="N136" s="316">
        <f t="shared" si="400"/>
        <v>170438</v>
      </c>
      <c r="O136" s="316">
        <f t="shared" si="400"/>
        <v>173788</v>
      </c>
      <c r="P136" s="316">
        <f t="shared" si="400"/>
        <v>173788</v>
      </c>
      <c r="Q136" s="316">
        <f t="shared" si="400"/>
        <v>173788</v>
      </c>
      <c r="R136" s="316">
        <f t="shared" ref="R136:AI136" si="403">Q136</f>
        <v>173788</v>
      </c>
      <c r="S136" s="316">
        <f t="shared" si="403"/>
        <v>173788</v>
      </c>
      <c r="T136" s="316">
        <f t="shared" si="403"/>
        <v>173788</v>
      </c>
      <c r="U136" s="316">
        <f t="shared" si="403"/>
        <v>173788</v>
      </c>
      <c r="V136" s="316">
        <f t="shared" si="403"/>
        <v>173788</v>
      </c>
      <c r="W136" s="316">
        <f t="shared" si="403"/>
        <v>173788</v>
      </c>
      <c r="X136" s="316">
        <f t="shared" si="403"/>
        <v>173788</v>
      </c>
      <c r="Y136" s="316">
        <f t="shared" si="403"/>
        <v>173788</v>
      </c>
      <c r="Z136" s="316">
        <f t="shared" si="403"/>
        <v>173788</v>
      </c>
      <c r="AA136" s="316">
        <f t="shared" si="403"/>
        <v>173788</v>
      </c>
      <c r="AB136" s="316">
        <f t="shared" si="403"/>
        <v>173788</v>
      </c>
      <c r="AC136" s="316">
        <f t="shared" si="403"/>
        <v>173788</v>
      </c>
      <c r="AD136" s="316">
        <f t="shared" si="403"/>
        <v>173788</v>
      </c>
      <c r="AE136" s="316">
        <f t="shared" si="403"/>
        <v>173788</v>
      </c>
      <c r="AF136" s="316">
        <f t="shared" si="403"/>
        <v>173788</v>
      </c>
      <c r="AG136" s="316">
        <f t="shared" si="403"/>
        <v>173788</v>
      </c>
      <c r="AH136" s="316">
        <f t="shared" si="403"/>
        <v>173788</v>
      </c>
      <c r="AI136" s="316">
        <f t="shared" si="403"/>
        <v>173788</v>
      </c>
      <c r="AJ136" s="316">
        <f t="shared" ref="AJ136" si="404">AI136</f>
        <v>173788</v>
      </c>
      <c r="AK136" s="316">
        <f t="shared" ref="AK136" si="405">AJ136</f>
        <v>173788</v>
      </c>
      <c r="AL136" s="316">
        <f t="shared" ref="AL136" si="406">AK136</f>
        <v>173788</v>
      </c>
      <c r="AM136" s="316">
        <f t="shared" ref="AM136" si="407">AL136</f>
        <v>173788</v>
      </c>
      <c r="AN136" s="316">
        <f t="shared" ref="AN136" si="408">AM136</f>
        <v>173788</v>
      </c>
      <c r="AO136" s="316">
        <f t="shared" ref="AO136" si="409">AN136</f>
        <v>173788</v>
      </c>
      <c r="AP136" s="316">
        <f t="shared" ref="AP136" si="410">AO136</f>
        <v>173788</v>
      </c>
      <c r="AQ136" s="316">
        <f t="shared" ref="AQ136" si="411">AP136</f>
        <v>173788</v>
      </c>
      <c r="AR136" s="316">
        <f t="shared" ref="AR136" si="412">AQ136</f>
        <v>173788</v>
      </c>
      <c r="AS136" s="316">
        <f t="shared" ref="AS136" si="413">AR136</f>
        <v>173788</v>
      </c>
      <c r="AT136" s="43"/>
      <c r="AU136" s="41"/>
    </row>
    <row r="137" spans="1:47" ht="14.25" customHeight="1" x14ac:dyDescent="0.3">
      <c r="A137" s="41"/>
      <c r="B137" s="300">
        <f t="shared" si="395"/>
        <v>63</v>
      </c>
      <c r="C137" s="598" t="str">
        <f t="shared" si="375"/>
        <v>Costuri cu redeventa</v>
      </c>
      <c r="D137" s="599"/>
      <c r="E137" s="599"/>
      <c r="F137" s="599"/>
      <c r="G137" s="600"/>
      <c r="H137" s="43"/>
      <c r="I137" s="315" t="str">
        <f t="shared" si="376"/>
        <v>lei/an</v>
      </c>
      <c r="J137" s="302"/>
      <c r="K137" s="302"/>
      <c r="L137" s="302"/>
      <c r="M137" s="316">
        <f t="shared" si="398"/>
        <v>175962</v>
      </c>
      <c r="N137" s="316">
        <f t="shared" si="400"/>
        <v>168229</v>
      </c>
      <c r="O137" s="316">
        <f t="shared" si="400"/>
        <v>168229</v>
      </c>
      <c r="P137" s="316">
        <f t="shared" si="400"/>
        <v>120698.63902833822</v>
      </c>
      <c r="Q137" s="316">
        <f t="shared" si="400"/>
        <v>111995.58897764857</v>
      </c>
      <c r="R137" s="319">
        <f>0.5%*SUM(R127,R130,R133,R134,R135,R136,R138)*1.05</f>
        <v>116634.58375955391</v>
      </c>
      <c r="S137" s="319">
        <f t="shared" ref="S137:AI137" si="414">0.5%*SUM(S127,S130,S133,S134,S135,S136,S138)*1.05</f>
        <v>117698.1120658931</v>
      </c>
      <c r="T137" s="319">
        <f t="shared" si="414"/>
        <v>118987.58096429743</v>
      </c>
      <c r="U137" s="319">
        <f t="shared" si="414"/>
        <v>120049.50056058254</v>
      </c>
      <c r="V137" s="319">
        <f t="shared" si="414"/>
        <v>121192.19845086317</v>
      </c>
      <c r="W137" s="319">
        <f t="shared" si="414"/>
        <v>122405.08600975234</v>
      </c>
      <c r="X137" s="319">
        <f t="shared" si="414"/>
        <v>124781.20512174687</v>
      </c>
      <c r="Y137" s="319">
        <f t="shared" si="414"/>
        <v>127356.6513424115</v>
      </c>
      <c r="Z137" s="319">
        <f t="shared" si="414"/>
        <v>130025.11164304742</v>
      </c>
      <c r="AA137" s="319">
        <f t="shared" si="414"/>
        <v>132794.6914301822</v>
      </c>
      <c r="AB137" s="319">
        <f t="shared" si="414"/>
        <v>135664.29441697494</v>
      </c>
      <c r="AC137" s="319">
        <f t="shared" si="414"/>
        <v>138990.69152214477</v>
      </c>
      <c r="AD137" s="319">
        <f t="shared" si="414"/>
        <v>142432.59004822507</v>
      </c>
      <c r="AE137" s="319">
        <f t="shared" si="414"/>
        <v>145994.29927442112</v>
      </c>
      <c r="AF137" s="319">
        <f t="shared" si="414"/>
        <v>149680.29705737092</v>
      </c>
      <c r="AG137" s="319">
        <f t="shared" si="414"/>
        <v>153495.23707532501</v>
      </c>
      <c r="AH137" s="319">
        <f t="shared" si="414"/>
        <v>157443.95639172572</v>
      </c>
      <c r="AI137" s="319">
        <f t="shared" si="414"/>
        <v>161531.4833530676</v>
      </c>
      <c r="AJ137" s="319">
        <f t="shared" ref="AJ137" si="415">0.5%*SUM(AJ127,AJ130,AJ133,AJ134,AJ135,AJ136,AJ138)*1.05</f>
        <v>165902.70166207312</v>
      </c>
      <c r="AK137" s="319">
        <f t="shared" ref="AK137" si="416">0.5%*SUM(AK127,AK130,AK133,AK134,AK135,AK136,AK138)*1.05</f>
        <v>170421.58441769864</v>
      </c>
      <c r="AL137" s="319">
        <f t="shared" ref="AL137" si="417">0.5%*SUM(AL127,AL130,AL133,AL134,AL135,AL136,AL138)*1.05</f>
        <v>175099.33991182718</v>
      </c>
      <c r="AM137" s="319">
        <f t="shared" ref="AM137" si="418">0.5%*SUM(AM127,AM130,AM133,AM134,AM135,AM136,AM138)*1.05</f>
        <v>179936.12293720877</v>
      </c>
      <c r="AN137" s="319">
        <f t="shared" ref="AN137" si="419">0.5%*SUM(AN127,AN130,AN133,AN134,AN135,AN136,AN138)*1.05</f>
        <v>184938.04934085312</v>
      </c>
      <c r="AO137" s="319">
        <f t="shared" ref="AO137" si="420">0.5%*SUM(AO127,AO130,AO133,AO134,AO135,AO136,AO138)*1.05</f>
        <v>190111.48243644845</v>
      </c>
      <c r="AP137" s="319">
        <f t="shared" ref="AP137" si="421">0.5%*SUM(AP127,AP130,AP133,AP134,AP135,AP136,AP138)*1.05</f>
        <v>195463.04369046667</v>
      </c>
      <c r="AQ137" s="319">
        <f t="shared" ref="AQ137" si="422">0.5%*SUM(AQ127,AQ130,AQ133,AQ134,AQ135,AQ136,AQ138)*1.05</f>
        <v>200999.62389103204</v>
      </c>
      <c r="AR137" s="319">
        <f t="shared" ref="AR137" si="423">0.5%*SUM(AR127,AR130,AR133,AR134,AR135,AR136,AR138)*1.05</f>
        <v>206728.39482215745</v>
      </c>
      <c r="AS137" s="319">
        <f t="shared" ref="AS137" si="424">0.5%*SUM(AS127,AS130,AS133,AS134,AS135,AS136,AS138)*1.05</f>
        <v>212656.82146703708</v>
      </c>
      <c r="AT137" s="43"/>
      <c r="AU137" s="41"/>
    </row>
    <row r="138" spans="1:47" ht="14.25" customHeight="1" x14ac:dyDescent="0.3">
      <c r="A138" s="41"/>
      <c r="B138" s="300">
        <f t="shared" si="395"/>
        <v>64</v>
      </c>
      <c r="C138" s="598" t="str">
        <f t="shared" si="375"/>
        <v>Alte costuri fixe</v>
      </c>
      <c r="D138" s="599"/>
      <c r="E138" s="599"/>
      <c r="F138" s="599"/>
      <c r="G138" s="600"/>
      <c r="H138" s="43"/>
      <c r="I138" s="315" t="str">
        <f t="shared" si="376"/>
        <v>lei/an</v>
      </c>
      <c r="J138" s="302"/>
      <c r="K138" s="302"/>
      <c r="L138" s="302"/>
      <c r="M138" s="316">
        <f t="shared" si="398"/>
        <v>0</v>
      </c>
      <c r="N138" s="316">
        <f t="shared" si="400"/>
        <v>0</v>
      </c>
      <c r="O138" s="316">
        <f t="shared" si="400"/>
        <v>0</v>
      </c>
      <c r="P138" s="316">
        <f t="shared" si="400"/>
        <v>0</v>
      </c>
      <c r="Q138" s="316">
        <f t="shared" si="400"/>
        <v>0</v>
      </c>
      <c r="R138" s="316">
        <f t="shared" ref="R138:AI138" si="425">Q138</f>
        <v>0</v>
      </c>
      <c r="S138" s="316">
        <f t="shared" si="425"/>
        <v>0</v>
      </c>
      <c r="T138" s="316">
        <f t="shared" si="425"/>
        <v>0</v>
      </c>
      <c r="U138" s="316">
        <f t="shared" si="425"/>
        <v>0</v>
      </c>
      <c r="V138" s="316">
        <f t="shared" si="425"/>
        <v>0</v>
      </c>
      <c r="W138" s="316">
        <f t="shared" si="425"/>
        <v>0</v>
      </c>
      <c r="X138" s="316">
        <f t="shared" si="425"/>
        <v>0</v>
      </c>
      <c r="Y138" s="316">
        <f t="shared" si="425"/>
        <v>0</v>
      </c>
      <c r="Z138" s="316">
        <f t="shared" si="425"/>
        <v>0</v>
      </c>
      <c r="AA138" s="316">
        <f t="shared" si="425"/>
        <v>0</v>
      </c>
      <c r="AB138" s="316">
        <f t="shared" si="425"/>
        <v>0</v>
      </c>
      <c r="AC138" s="316">
        <f t="shared" si="425"/>
        <v>0</v>
      </c>
      <c r="AD138" s="316">
        <f t="shared" si="425"/>
        <v>0</v>
      </c>
      <c r="AE138" s="316">
        <f t="shared" si="425"/>
        <v>0</v>
      </c>
      <c r="AF138" s="316">
        <f t="shared" si="425"/>
        <v>0</v>
      </c>
      <c r="AG138" s="316">
        <f t="shared" si="425"/>
        <v>0</v>
      </c>
      <c r="AH138" s="316">
        <f t="shared" si="425"/>
        <v>0</v>
      </c>
      <c r="AI138" s="316">
        <f t="shared" si="425"/>
        <v>0</v>
      </c>
      <c r="AJ138" s="316">
        <f t="shared" ref="AJ138" si="426">AI138</f>
        <v>0</v>
      </c>
      <c r="AK138" s="316">
        <f t="shared" ref="AK138" si="427">AJ138</f>
        <v>0</v>
      </c>
      <c r="AL138" s="316">
        <f t="shared" ref="AL138" si="428">AK138</f>
        <v>0</v>
      </c>
      <c r="AM138" s="316">
        <f t="shared" ref="AM138" si="429">AL138</f>
        <v>0</v>
      </c>
      <c r="AN138" s="316">
        <f t="shared" ref="AN138" si="430">AM138</f>
        <v>0</v>
      </c>
      <c r="AO138" s="316">
        <f t="shared" ref="AO138" si="431">AN138</f>
        <v>0</v>
      </c>
      <c r="AP138" s="316">
        <f t="shared" ref="AP138" si="432">AO138</f>
        <v>0</v>
      </c>
      <c r="AQ138" s="316">
        <f t="shared" ref="AQ138" si="433">AP138</f>
        <v>0</v>
      </c>
      <c r="AR138" s="316">
        <f t="shared" ref="AR138" si="434">AQ138</f>
        <v>0</v>
      </c>
      <c r="AS138" s="316">
        <f t="shared" ref="AS138" si="435">AR138</f>
        <v>0</v>
      </c>
      <c r="AT138" s="43"/>
      <c r="AU138" s="41"/>
    </row>
    <row r="139" spans="1:47" ht="27.75" customHeight="1" x14ac:dyDescent="0.3">
      <c r="A139" s="41"/>
      <c r="B139" s="300">
        <f t="shared" si="395"/>
        <v>65</v>
      </c>
      <c r="C139" s="679" t="s">
        <v>372</v>
      </c>
      <c r="D139" s="680"/>
      <c r="E139" s="680"/>
      <c r="F139" s="680"/>
      <c r="G139" s="681"/>
      <c r="H139" s="317"/>
      <c r="I139" s="313" t="s">
        <v>407</v>
      </c>
      <c r="J139" s="302"/>
      <c r="K139" s="302"/>
      <c r="L139" s="302"/>
      <c r="M139" s="321">
        <f>SUM(M127,M130,M133,M134,M135,M136,M137,M138)/1000</f>
        <v>17530.186535532175</v>
      </c>
      <c r="N139" s="321">
        <f t="shared" ref="N139:AI139" si="436">SUM(N127,N130,N133,N134,N135,N136,N137,N138)/1000</f>
        <v>21393.830292843184</v>
      </c>
      <c r="O139" s="321">
        <f t="shared" si="436"/>
        <v>21573.795806553364</v>
      </c>
      <c r="P139" s="321">
        <f t="shared" si="436"/>
        <v>23110.915596807044</v>
      </c>
      <c r="Q139" s="321">
        <f t="shared" si="436"/>
        <v>21444.488727577376</v>
      </c>
      <c r="R139" s="321">
        <f t="shared" si="436"/>
        <v>22332.745776055533</v>
      </c>
      <c r="S139" s="321">
        <f t="shared" si="436"/>
        <v>22536.386124616958</v>
      </c>
      <c r="T139" s="321">
        <f t="shared" si="436"/>
        <v>22783.288717020951</v>
      </c>
      <c r="U139" s="321">
        <f t="shared" si="436"/>
        <v>22986.621035909637</v>
      </c>
      <c r="V139" s="321">
        <f t="shared" si="436"/>
        <v>23205.420474805753</v>
      </c>
      <c r="W139" s="321">
        <f t="shared" si="436"/>
        <v>23437.659564057816</v>
      </c>
      <c r="X139" s="321">
        <f t="shared" si="436"/>
        <v>23892.629799740196</v>
      </c>
      <c r="Y139" s="321">
        <f t="shared" si="436"/>
        <v>24385.766430849362</v>
      </c>
      <c r="Z139" s="321">
        <f t="shared" si="436"/>
        <v>24896.713043652075</v>
      </c>
      <c r="AA139" s="321">
        <f t="shared" si="436"/>
        <v>25427.021630512503</v>
      </c>
      <c r="AB139" s="321">
        <f t="shared" si="436"/>
        <v>25976.482278602674</v>
      </c>
      <c r="AC139" s="321">
        <f t="shared" si="436"/>
        <v>26613.408124311627</v>
      </c>
      <c r="AD139" s="321">
        <f t="shared" si="436"/>
        <v>27272.449742091092</v>
      </c>
      <c r="AE139" s="321">
        <f t="shared" si="436"/>
        <v>27954.432256307016</v>
      </c>
      <c r="AF139" s="321">
        <f t="shared" si="436"/>
        <v>28660.213069889931</v>
      </c>
      <c r="AG139" s="321">
        <f t="shared" si="436"/>
        <v>29390.683251422943</v>
      </c>
      <c r="AH139" s="321">
        <f t="shared" si="436"/>
        <v>30146.768983387101</v>
      </c>
      <c r="AI139" s="321">
        <f t="shared" si="436"/>
        <v>30929.433074413555</v>
      </c>
      <c r="AJ139" s="321">
        <f t="shared" ref="AJ139" si="437">SUM(AJ127,AJ130,AJ133,AJ134,AJ135,AJ136,AJ137,AJ138)/1000</f>
        <v>31766.417303961716</v>
      </c>
      <c r="AK139" s="321">
        <f t="shared" ref="AK139" si="438">SUM(AK127,AK130,AK133,AK134,AK135,AK136,AK137,AK138)/1000</f>
        <v>32631.675759217433</v>
      </c>
      <c r="AL139" s="321">
        <f t="shared" ref="AL139" si="439">SUM(AL127,AL130,AL133,AL134,AL135,AL136,AL137,AL138)/1000</f>
        <v>33527.35456121224</v>
      </c>
      <c r="AM139" s="321">
        <f t="shared" ref="AM139" si="440">SUM(AM127,AM130,AM133,AM134,AM135,AM136,AM137,AM138)/1000</f>
        <v>34453.483349072209</v>
      </c>
      <c r="AN139" s="321">
        <f t="shared" ref="AN139" si="441">SUM(AN127,AN130,AN133,AN134,AN135,AN136,AN137,AN138)/1000</f>
        <v>35411.233161884302</v>
      </c>
      <c r="AO139" s="321">
        <f t="shared" ref="AO139" si="442">SUM(AO127,AO130,AO133,AO134,AO135,AO136,AO137,AO138)/1000</f>
        <v>36401.822422712343</v>
      </c>
      <c r="AP139" s="321">
        <f t="shared" ref="AP139" si="443">SUM(AP127,AP130,AP133,AP134,AP135,AP136,AP137,AP138)/1000</f>
        <v>37426.518984731731</v>
      </c>
      <c r="AQ139" s="321">
        <f t="shared" ref="AQ139" si="444">SUM(AQ127,AQ130,AQ133,AQ134,AQ135,AQ136,AQ137,AQ138)/1000</f>
        <v>38486.642269801901</v>
      </c>
      <c r="AR139" s="321">
        <f t="shared" ref="AR139" si="445">SUM(AR127,AR130,AR133,AR134,AR135,AR136,AR137,AR138)/1000</f>
        <v>39583.56550380453</v>
      </c>
      <c r="AS139" s="321">
        <f t="shared" ref="AS139" si="446">SUM(AS127,AS130,AS133,AS134,AS135,AS136,AS137,AS138)/1000</f>
        <v>40718.718053283614</v>
      </c>
      <c r="AT139" s="43"/>
      <c r="AU139" s="41"/>
    </row>
    <row r="140" spans="1:47" x14ac:dyDescent="0.3">
      <c r="A140" s="41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1"/>
    </row>
    <row r="141" spans="1:47" ht="18" customHeight="1" x14ac:dyDescent="0.3">
      <c r="A141" s="41"/>
      <c r="B141" s="296">
        <f>B139+1</f>
        <v>66</v>
      </c>
      <c r="C141" s="691" t="s">
        <v>64</v>
      </c>
      <c r="D141" s="691"/>
      <c r="E141" s="691"/>
      <c r="F141" s="691"/>
      <c r="G141" s="691"/>
      <c r="H141" s="43"/>
      <c r="I141" s="313" t="s">
        <v>407</v>
      </c>
      <c r="J141" s="43"/>
      <c r="K141" s="43"/>
      <c r="L141" s="43"/>
      <c r="M141" s="323">
        <f t="shared" ref="M141:AI141" si="447">M124+M139</f>
        <v>40392.86430489592</v>
      </c>
      <c r="N141" s="323">
        <f t="shared" si="447"/>
        <v>58132.368121222069</v>
      </c>
      <c r="O141" s="323">
        <f t="shared" si="447"/>
        <v>64721.114413474206</v>
      </c>
      <c r="P141" s="323">
        <f t="shared" si="447"/>
        <v>69562.251924938668</v>
      </c>
      <c r="Q141" s="323">
        <f t="shared" si="447"/>
        <v>64476.720344892456</v>
      </c>
      <c r="R141" s="323">
        <f t="shared" si="447"/>
        <v>64327.927549176689</v>
      </c>
      <c r="S141" s="323">
        <f t="shared" si="447"/>
        <v>63499.065541367803</v>
      </c>
      <c r="T141" s="323">
        <f t="shared" si="447"/>
        <v>62843.499454838726</v>
      </c>
      <c r="U141" s="323">
        <f t="shared" si="447"/>
        <v>62126.487179074393</v>
      </c>
      <c r="V141" s="323">
        <f t="shared" si="447"/>
        <v>61431.995948681841</v>
      </c>
      <c r="W141" s="323">
        <f t="shared" si="447"/>
        <v>60757.867885041313</v>
      </c>
      <c r="X141" s="323">
        <f t="shared" si="447"/>
        <v>60731.539520502498</v>
      </c>
      <c r="Y141" s="323">
        <f t="shared" si="447"/>
        <v>60835.529258572518</v>
      </c>
      <c r="Z141" s="323">
        <f t="shared" si="447"/>
        <v>60962.407192391453</v>
      </c>
      <c r="AA141" s="323">
        <f t="shared" si="447"/>
        <v>61113.630489292525</v>
      </c>
      <c r="AB141" s="323">
        <f t="shared" si="447"/>
        <v>61288.896183274555</v>
      </c>
      <c r="AC141" s="323">
        <f t="shared" si="447"/>
        <v>61673.166597704301</v>
      </c>
      <c r="AD141" s="323">
        <f t="shared" si="447"/>
        <v>62084.267375441923</v>
      </c>
      <c r="AE141" s="323">
        <f t="shared" si="447"/>
        <v>62522.93566502176</v>
      </c>
      <c r="AF141" s="323">
        <f t="shared" si="447"/>
        <v>62989.942535353708</v>
      </c>
      <c r="AG141" s="323">
        <f t="shared" si="447"/>
        <v>63486.094332165958</v>
      </c>
      <c r="AH141" s="323">
        <f t="shared" si="447"/>
        <v>64012.234096177184</v>
      </c>
      <c r="AI141" s="323">
        <f t="shared" si="447"/>
        <v>64569.243045836673</v>
      </c>
      <c r="AJ141" s="323">
        <f t="shared" ref="AJ141:AS141" si="448">AJ124+AJ139</f>
        <v>69683.660893948661</v>
      </c>
      <c r="AK141" s="323">
        <f t="shared" si="448"/>
        <v>74798.451006699237</v>
      </c>
      <c r="AL141" s="323">
        <f t="shared" si="448"/>
        <v>79916.183968163969</v>
      </c>
      <c r="AM141" s="323">
        <f t="shared" si="448"/>
        <v>85037.30818145792</v>
      </c>
      <c r="AN141" s="323">
        <f t="shared" si="448"/>
        <v>90163.40782213668</v>
      </c>
      <c r="AO141" s="323">
        <f t="shared" si="448"/>
        <v>95296.108892885852</v>
      </c>
      <c r="AP141" s="323">
        <f t="shared" si="448"/>
        <v>100437.08133947907</v>
      </c>
      <c r="AQ141" s="323">
        <f t="shared" si="448"/>
        <v>105588.04125833263</v>
      </c>
      <c r="AR141" s="323">
        <f t="shared" si="448"/>
        <v>110750.75319999506</v>
      </c>
      <c r="AS141" s="323">
        <f t="shared" si="448"/>
        <v>115927.03257311723</v>
      </c>
      <c r="AT141" s="43"/>
      <c r="AU141" s="41"/>
    </row>
    <row r="142" spans="1:47" x14ac:dyDescent="0.3">
      <c r="A142" s="41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1"/>
    </row>
    <row r="143" spans="1:47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</row>
    <row r="144" spans="1:47" s="482" customFormat="1" x14ac:dyDescent="0.3">
      <c r="B144" s="480"/>
      <c r="N144" s="482">
        <v>0.32481250474173273</v>
      </c>
      <c r="O144" s="482">
        <v>-0.32877660763966376</v>
      </c>
      <c r="P144" s="482">
        <v>-0.33885448084922554</v>
      </c>
      <c r="Q144" s="482">
        <v>0.62566617504459376</v>
      </c>
      <c r="R144" s="482">
        <v>0.16999843887029442</v>
      </c>
      <c r="S144" s="482">
        <v>-1.7499336616809358E-2</v>
      </c>
      <c r="T144" s="482">
        <v>-1.9137985576810679E-2</v>
      </c>
      <c r="U144" s="482">
        <v>1.1180972627255148E-2</v>
      </c>
      <c r="V144" s="482">
        <v>1.1602963394708343E-2</v>
      </c>
      <c r="W144" s="482">
        <v>1.2036612272951386E-2</v>
      </c>
      <c r="X144" s="482">
        <v>2.2423311904583132E-2</v>
      </c>
      <c r="Y144" s="482">
        <v>2.2835140981004809E-2</v>
      </c>
      <c r="Z144" s="482">
        <v>2.3204522874802125E-2</v>
      </c>
      <c r="AA144" s="482">
        <v>2.3664663327800373E-2</v>
      </c>
      <c r="AB144" s="482">
        <v>2.4246136724159539E-2</v>
      </c>
      <c r="AC144" s="482">
        <v>-5.9804759285237985E-3</v>
      </c>
      <c r="AD144" s="482">
        <v>-5.6967919697168412E-3</v>
      </c>
      <c r="AE144" s="482">
        <v>-5.4066542646779014E-3</v>
      </c>
      <c r="AF144" s="482">
        <v>-5.1099454791462273E-3</v>
      </c>
      <c r="AG144" s="482">
        <v>-4.8065535277758142E-3</v>
      </c>
      <c r="AH144" s="482">
        <v>-4.4963722533225559E-3</v>
      </c>
    </row>
  </sheetData>
  <sheetProtection algorithmName="SHA-512" hashValue="wyzHxGeqplG9v8Xx0zOA/orwMW8jNJ6WCYGGm08OHhq3nyioImIVDRbkbWyfdIWKdhWPd+CJ8uNjRjgoa77EnQ==" saltValue="kb8C9M4OxT0krKK1bSSPlw==" spinCount="100000" sheet="1" objects="1" scenarios="1"/>
  <mergeCells count="122">
    <mergeCell ref="C97:G97"/>
    <mergeCell ref="C98:G98"/>
    <mergeCell ref="C103:G103"/>
    <mergeCell ref="C104:G104"/>
    <mergeCell ref="C105:G105"/>
    <mergeCell ref="C106:G106"/>
    <mergeCell ref="C60:G60"/>
    <mergeCell ref="C61:G61"/>
    <mergeCell ref="C26:G26"/>
    <mergeCell ref="C90:G90"/>
    <mergeCell ref="C31:G31"/>
    <mergeCell ref="C30:G30"/>
    <mergeCell ref="C63:G63"/>
    <mergeCell ref="C76:H76"/>
    <mergeCell ref="C83:G83"/>
    <mergeCell ref="C84:G84"/>
    <mergeCell ref="C87:G87"/>
    <mergeCell ref="C73:G73"/>
    <mergeCell ref="C89:G89"/>
    <mergeCell ref="C79:G79"/>
    <mergeCell ref="C85:G85"/>
    <mergeCell ref="C88:G88"/>
    <mergeCell ref="C80:G80"/>
    <mergeCell ref="C141:G141"/>
    <mergeCell ref="C137:G137"/>
    <mergeCell ref="C138:G138"/>
    <mergeCell ref="C139:G139"/>
    <mergeCell ref="C136:G136"/>
    <mergeCell ref="C134:G134"/>
    <mergeCell ref="C135:G135"/>
    <mergeCell ref="C127:G127"/>
    <mergeCell ref="C128:G128"/>
    <mergeCell ref="C129:G129"/>
    <mergeCell ref="C133:G133"/>
    <mergeCell ref="C131:G131"/>
    <mergeCell ref="C132:G132"/>
    <mergeCell ref="C81:G81"/>
    <mergeCell ref="C91:G91"/>
    <mergeCell ref="C92:G92"/>
    <mergeCell ref="C94:G94"/>
    <mergeCell ref="C130:G130"/>
    <mergeCell ref="C126:G126"/>
    <mergeCell ref="C93:G93"/>
    <mergeCell ref="C96:G96"/>
    <mergeCell ref="C95:G95"/>
    <mergeCell ref="C99:G99"/>
    <mergeCell ref="P3:AS3"/>
    <mergeCell ref="C21:G21"/>
    <mergeCell ref="C27:G27"/>
    <mergeCell ref="C22:G22"/>
    <mergeCell ref="C29:G29"/>
    <mergeCell ref="C15:G15"/>
    <mergeCell ref="C16:G16"/>
    <mergeCell ref="C24:G24"/>
    <mergeCell ref="C23:G23"/>
    <mergeCell ref="C25:G25"/>
    <mergeCell ref="C17:G17"/>
    <mergeCell ref="C18:G18"/>
    <mergeCell ref="C28:G28"/>
    <mergeCell ref="C20:G20"/>
    <mergeCell ref="C10:G10"/>
    <mergeCell ref="C11:G11"/>
    <mergeCell ref="C14:G14"/>
    <mergeCell ref="C19:G19"/>
    <mergeCell ref="D3:I3"/>
    <mergeCell ref="M3:N3"/>
    <mergeCell ref="D4:I4"/>
    <mergeCell ref="C8:H8"/>
    <mergeCell ref="C12:G12"/>
    <mergeCell ref="C13:G13"/>
    <mergeCell ref="C38:G38"/>
    <mergeCell ref="C39:G39"/>
    <mergeCell ref="C40:G40"/>
    <mergeCell ref="C35:G35"/>
    <mergeCell ref="C41:G41"/>
    <mergeCell ref="C32:G32"/>
    <mergeCell ref="C33:G33"/>
    <mergeCell ref="C34:G34"/>
    <mergeCell ref="C36:G36"/>
    <mergeCell ref="C37:G37"/>
    <mergeCell ref="C47:G47"/>
    <mergeCell ref="C48:G48"/>
    <mergeCell ref="C53:G53"/>
    <mergeCell ref="C50:G50"/>
    <mergeCell ref="C51:G51"/>
    <mergeCell ref="C42:G42"/>
    <mergeCell ref="C43:G43"/>
    <mergeCell ref="C44:G44"/>
    <mergeCell ref="C46:G46"/>
    <mergeCell ref="C107:G107"/>
    <mergeCell ref="C108:G108"/>
    <mergeCell ref="C109:G109"/>
    <mergeCell ref="C110:G110"/>
    <mergeCell ref="C111:G111"/>
    <mergeCell ref="C56:G56"/>
    <mergeCell ref="C54:G54"/>
    <mergeCell ref="C100:G100"/>
    <mergeCell ref="C101:G101"/>
    <mergeCell ref="C102:G102"/>
    <mergeCell ref="C86:G86"/>
    <mergeCell ref="C58:G58"/>
    <mergeCell ref="C59:G59"/>
    <mergeCell ref="C62:G62"/>
    <mergeCell ref="C65:G65"/>
    <mergeCell ref="C70:G70"/>
    <mergeCell ref="C71:G71"/>
    <mergeCell ref="C64:G64"/>
    <mergeCell ref="C66:G66"/>
    <mergeCell ref="C67:G67"/>
    <mergeCell ref="C68:G68"/>
    <mergeCell ref="C69:G69"/>
    <mergeCell ref="C82:G82"/>
    <mergeCell ref="C78:G78"/>
    <mergeCell ref="C119:G119"/>
    <mergeCell ref="C121:G121"/>
    <mergeCell ref="C122:G122"/>
    <mergeCell ref="C124:G124"/>
    <mergeCell ref="C112:G112"/>
    <mergeCell ref="C114:G114"/>
    <mergeCell ref="C115:G115"/>
    <mergeCell ref="C116:G116"/>
    <mergeCell ref="C118:G118"/>
  </mergeCells>
  <phoneticPr fontId="10" type="noConversion"/>
  <pageMargins left="0.25" right="0.25" top="0.75" bottom="0.75" header="0.3" footer="0.3"/>
  <pageSetup paperSize="9" scale="2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6D40-A430-4FF8-AC01-5C3FEC203AFA}">
  <sheetPr>
    <pageSetUpPr fitToPage="1"/>
  </sheetPr>
  <dimension ref="A1:AU141"/>
  <sheetViews>
    <sheetView zoomScale="72" zoomScaleNormal="72" workbookViewId="0">
      <pane xSplit="15" ySplit="18" topLeftCell="P19" activePane="bottomRight" state="frozen"/>
      <selection pane="topRight" activeCell="P1" sqref="P1"/>
      <selection pane="bottomLeft" activeCell="A19" sqref="A19"/>
      <selection pane="bottomRight" activeCell="N37" sqref="N37"/>
    </sheetView>
  </sheetViews>
  <sheetFormatPr defaultColWidth="9.140625" defaultRowHeight="16.5" x14ac:dyDescent="0.3"/>
  <cols>
    <col min="1" max="1" width="3.85546875" style="38" customWidth="1"/>
    <col min="2" max="2" width="3.28515625" style="296" customWidth="1"/>
    <col min="3" max="3" width="15.5703125" style="38" customWidth="1"/>
    <col min="4" max="6" width="9.140625" style="38"/>
    <col min="7" max="7" width="16.42578125" style="38" customWidth="1"/>
    <col min="8" max="8" width="4" style="38" customWidth="1"/>
    <col min="9" max="9" width="15.5703125" style="38" customWidth="1"/>
    <col min="10" max="10" width="4" style="38" customWidth="1"/>
    <col min="11" max="11" width="11.7109375" style="38" customWidth="1"/>
    <col min="12" max="12" width="3.5703125" style="38" customWidth="1"/>
    <col min="13" max="26" width="10.28515625" style="38" customWidth="1"/>
    <col min="27" max="27" width="9.7109375" style="38" customWidth="1"/>
    <col min="28" max="28" width="9" style="38" customWidth="1"/>
    <col min="29" max="29" width="10" style="38" customWidth="1"/>
    <col min="30" max="34" width="10.140625" style="38" bestFit="1" customWidth="1"/>
    <col min="35" max="45" width="10.140625" style="38" customWidth="1"/>
    <col min="46" max="46" width="3.7109375" style="38" customWidth="1"/>
    <col min="47" max="47" width="5.140625" style="38" customWidth="1"/>
    <col min="48" max="16384" width="9.140625" style="38"/>
  </cols>
  <sheetData>
    <row r="1" spans="1:47" ht="15" customHeight="1" x14ac:dyDescent="0.3"/>
    <row r="2" spans="1:47" ht="15" customHeight="1" x14ac:dyDescent="0.3">
      <c r="M2" s="43"/>
      <c r="N2" s="43"/>
      <c r="O2" s="313">
        <v>0</v>
      </c>
      <c r="P2" s="313">
        <v>1</v>
      </c>
      <c r="Q2" s="313">
        <f>IF(AND(P2+1&lt;='1.Input'!$I$20,'6.Venituri'!P2&gt;0),'6.Venituri'!P2+1,0)</f>
        <v>2</v>
      </c>
      <c r="R2" s="313">
        <f>IF(AND(Q2+1&lt;='1.Input'!$I$20,'6.Venituri'!Q2&gt;0),'6.Venituri'!Q2+1,0)</f>
        <v>3</v>
      </c>
      <c r="S2" s="313">
        <f>IF(AND(R2+1&lt;='1.Input'!$I$20,'6.Venituri'!R2&gt;0),'6.Venituri'!R2+1,0)</f>
        <v>4</v>
      </c>
      <c r="T2" s="313">
        <f>IF(AND(S2+1&lt;='1.Input'!$I$20,'6.Venituri'!S2&gt;0),'6.Venituri'!S2+1,0)</f>
        <v>5</v>
      </c>
      <c r="U2" s="313">
        <f>IF(AND(T2+1&lt;='1.Input'!$I$20,'6.Venituri'!T2&gt;0),'6.Venituri'!T2+1,0)</f>
        <v>6</v>
      </c>
      <c r="V2" s="313">
        <f>IF(AND(U2+1&lt;='1.Input'!$I$20,'6.Venituri'!U2&gt;0),'6.Venituri'!U2+1,0)</f>
        <v>7</v>
      </c>
      <c r="W2" s="313">
        <f>IF(AND(V2+1&lt;='1.Input'!$I$20,'6.Venituri'!V2&gt;0),'6.Venituri'!V2+1,0)</f>
        <v>8</v>
      </c>
      <c r="X2" s="313">
        <f>IF(AND(W2+1&lt;='1.Input'!$I$20,'6.Venituri'!W2&gt;0),'6.Venituri'!W2+1,0)</f>
        <v>9</v>
      </c>
      <c r="Y2" s="313">
        <f>IF(AND(X2+1&lt;='1.Input'!$I$20,'6.Venituri'!X2&gt;0),'6.Venituri'!X2+1,0)</f>
        <v>10</v>
      </c>
      <c r="Z2" s="313">
        <f>IF(AND(Y2+1&lt;='1.Input'!$I$20,'6.Venituri'!Y2&gt;0),'6.Venituri'!Y2+1,0)</f>
        <v>11</v>
      </c>
      <c r="AA2" s="313">
        <f>IF(AND(Z2+1&lt;='1.Input'!$I$20,'6.Venituri'!Z2&gt;0),'6.Venituri'!Z2+1,0)</f>
        <v>12</v>
      </c>
      <c r="AB2" s="313">
        <f>IF(AND(AA2+1&lt;='1.Input'!$I$20,'6.Venituri'!AA2&gt;0),'6.Venituri'!AA2+1,0)</f>
        <v>13</v>
      </c>
      <c r="AC2" s="313">
        <f>IF(AND(AB2+1&lt;='1.Input'!$I$20,'6.Venituri'!AB2&gt;0),'6.Venituri'!AB2+1,0)</f>
        <v>14</v>
      </c>
      <c r="AD2" s="313">
        <f>IF(AND(AC2+1&lt;='1.Input'!$I$20,'6.Venituri'!AC2&gt;0),'6.Venituri'!AC2+1,0)</f>
        <v>15</v>
      </c>
      <c r="AE2" s="313">
        <f>IF(AND(AD2+1&lt;='1.Input'!$I$20,'6.Venituri'!AD2&gt;0),'6.Venituri'!AD2+1,0)</f>
        <v>16</v>
      </c>
      <c r="AF2" s="313">
        <f>IF(AND(AE2+1&lt;='1.Input'!$I$20,'6.Venituri'!AE2&gt;0),'6.Venituri'!AE2+1,0)</f>
        <v>17</v>
      </c>
      <c r="AG2" s="313">
        <f>IF(AND(AF2+1&lt;='1.Input'!$I$20,'6.Venituri'!AF2&gt;0),'6.Venituri'!AF2+1,0)</f>
        <v>18</v>
      </c>
      <c r="AH2" s="313">
        <f>IF(AND(AG2+1&lt;='1.Input'!$I$20,'6.Venituri'!AG2&gt;0),'6.Venituri'!AG2+1,0)</f>
        <v>19</v>
      </c>
      <c r="AI2" s="313">
        <f>IF(AND(AH2+1&lt;='1.Input'!$I$20,'6.Venituri'!AH2&gt;0),'6.Venituri'!AH2+1,0)</f>
        <v>20</v>
      </c>
      <c r="AJ2" s="313">
        <f>IF(AND(AI2+1&lt;='1.Input'!$I$20,'6.Venituri'!AI2&gt;0),'6.Venituri'!AI2+1,0)</f>
        <v>21</v>
      </c>
      <c r="AK2" s="313">
        <f>IF(AND(AJ2+1&lt;='1.Input'!$I$20,'6.Venituri'!AJ2&gt;0),'6.Venituri'!AJ2+1,0)</f>
        <v>22</v>
      </c>
      <c r="AL2" s="313">
        <f>IF(AND(AK2+1&lt;='1.Input'!$I$20,'6.Venituri'!AK2&gt;0),'6.Venituri'!AK2+1,0)</f>
        <v>23</v>
      </c>
      <c r="AM2" s="313">
        <f>IF(AND(AL2+1&lt;='1.Input'!$I$20,'6.Venituri'!AL2&gt;0),'6.Venituri'!AL2+1,0)</f>
        <v>24</v>
      </c>
      <c r="AN2" s="313">
        <f>IF(AND(AM2+1&lt;='1.Input'!$I$20,'6.Venituri'!AM2&gt;0),'6.Venituri'!AM2+1,0)</f>
        <v>25</v>
      </c>
      <c r="AO2" s="313">
        <f>IF(AND(AN2+1&lt;='1.Input'!$I$20,'6.Venituri'!AN2&gt;0),'6.Venituri'!AN2+1,0)</f>
        <v>26</v>
      </c>
      <c r="AP2" s="313">
        <f>IF(AND(AO2+1&lt;='1.Input'!$I$20,'6.Venituri'!AO2&gt;0),'6.Venituri'!AO2+1,0)</f>
        <v>27</v>
      </c>
      <c r="AQ2" s="313">
        <f>IF(AND(AP2+1&lt;='1.Input'!$I$20,'6.Venituri'!AP2&gt;0),'6.Venituri'!AP2+1,0)</f>
        <v>28</v>
      </c>
      <c r="AR2" s="313">
        <f>IF(AND(AQ2+1&lt;='1.Input'!$I$20,'6.Venituri'!AQ2&gt;0),'6.Venituri'!AQ2+1,0)</f>
        <v>29</v>
      </c>
      <c r="AS2" s="313">
        <f>IF(AND(AR2+1&lt;='1.Input'!$I$20,'6.Venituri'!AR2&gt;0),'6.Venituri'!AR2+1,0)</f>
        <v>30</v>
      </c>
    </row>
    <row r="3" spans="1:47" ht="22.5" customHeight="1" x14ac:dyDescent="0.3">
      <c r="C3" s="297" t="s">
        <v>0</v>
      </c>
      <c r="D3" s="687" t="str">
        <f>'5.O&amp;M'!D3</f>
        <v>PRIMARIA MUNICIPIULUI SUCEAVA</v>
      </c>
      <c r="E3" s="687"/>
      <c r="F3" s="687"/>
      <c r="G3" s="687"/>
      <c r="H3" s="687"/>
      <c r="I3" s="687"/>
      <c r="J3" s="298"/>
      <c r="K3" s="298"/>
      <c r="L3" s="298"/>
      <c r="M3" s="622" t="s">
        <v>3</v>
      </c>
      <c r="N3" s="623"/>
      <c r="O3" s="39" t="s">
        <v>17</v>
      </c>
      <c r="P3" s="613" t="s">
        <v>18</v>
      </c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</row>
    <row r="4" spans="1:47" ht="27.75" customHeight="1" x14ac:dyDescent="0.3">
      <c r="C4" s="297" t="s">
        <v>1</v>
      </c>
      <c r="D4" s="664" t="str">
        <f>'5.O&amp;M'!D4</f>
        <v>Reabilitarea sistemului de transport și distribuție energie termică în municipiul Suceava</v>
      </c>
      <c r="E4" s="664"/>
      <c r="F4" s="664"/>
      <c r="G4" s="664"/>
      <c r="H4" s="664"/>
      <c r="I4" s="664"/>
      <c r="J4" s="298"/>
      <c r="K4" s="298"/>
      <c r="L4" s="298"/>
      <c r="M4" s="40">
        <f>'1.Input'!M4</f>
        <v>2021</v>
      </c>
      <c r="N4" s="40">
        <f>'1.Input'!N4</f>
        <v>2022</v>
      </c>
      <c r="O4" s="40">
        <f>'1.Input'!O4</f>
        <v>2023</v>
      </c>
      <c r="P4" s="583">
        <f>'1.Input'!P4</f>
        <v>2024</v>
      </c>
      <c r="Q4" s="583">
        <f>'1.Input'!Q4</f>
        <v>2025</v>
      </c>
      <c r="R4" s="583">
        <f>'1.Input'!R4</f>
        <v>2026</v>
      </c>
      <c r="S4" s="583">
        <f>'1.Input'!S4</f>
        <v>2027</v>
      </c>
      <c r="T4" s="583">
        <f>'1.Input'!T4</f>
        <v>2028</v>
      </c>
      <c r="U4" s="583">
        <f>'1.Input'!U4</f>
        <v>2029</v>
      </c>
      <c r="V4" s="583">
        <f>'1.Input'!V4</f>
        <v>2030</v>
      </c>
      <c r="W4" s="583">
        <f>'1.Input'!W4</f>
        <v>2031</v>
      </c>
      <c r="X4" s="583">
        <f>'1.Input'!X4</f>
        <v>2032</v>
      </c>
      <c r="Y4" s="583">
        <f>'1.Input'!Y4</f>
        <v>2033</v>
      </c>
      <c r="Z4" s="583">
        <f>'1.Input'!Z4</f>
        <v>2034</v>
      </c>
      <c r="AA4" s="583">
        <f>'1.Input'!AA4</f>
        <v>2035</v>
      </c>
      <c r="AB4" s="583">
        <f>'1.Input'!AB4</f>
        <v>2036</v>
      </c>
      <c r="AC4" s="583">
        <f>'1.Input'!AC4</f>
        <v>2037</v>
      </c>
      <c r="AD4" s="583">
        <f>'1.Input'!AD4</f>
        <v>2038</v>
      </c>
      <c r="AE4" s="583">
        <f>'1.Input'!AE4</f>
        <v>2039</v>
      </c>
      <c r="AF4" s="583">
        <f>'1.Input'!AF4</f>
        <v>2040</v>
      </c>
      <c r="AG4" s="583">
        <f>'1.Input'!AG4</f>
        <v>2041</v>
      </c>
      <c r="AH4" s="583">
        <f>'1.Input'!AH4</f>
        <v>2042</v>
      </c>
      <c r="AI4" s="583">
        <f>'1.Input'!AI4</f>
        <v>2043</v>
      </c>
      <c r="AJ4" s="583">
        <f>'1.Input'!AJ4</f>
        <v>2044</v>
      </c>
      <c r="AK4" s="583">
        <f>'1.Input'!AK4</f>
        <v>2045</v>
      </c>
      <c r="AL4" s="583">
        <f>'1.Input'!AL4</f>
        <v>2046</v>
      </c>
      <c r="AM4" s="583">
        <f>'1.Input'!AM4</f>
        <v>2047</v>
      </c>
      <c r="AN4" s="583">
        <f>'1.Input'!AN4</f>
        <v>2048</v>
      </c>
      <c r="AO4" s="583">
        <f>'1.Input'!AO4</f>
        <v>2049</v>
      </c>
      <c r="AP4" s="583">
        <f>'1.Input'!AP4</f>
        <v>2050</v>
      </c>
      <c r="AQ4" s="583">
        <f>'1.Input'!AQ4</f>
        <v>2051</v>
      </c>
      <c r="AR4" s="583">
        <f>'1.Input'!AR4</f>
        <v>2052</v>
      </c>
      <c r="AS4" s="583">
        <f>'1.Input'!AS4</f>
        <v>2053</v>
      </c>
    </row>
    <row r="5" spans="1:47" x14ac:dyDescent="0.3">
      <c r="K5" s="593">
        <f>84322/92121-1</f>
        <v>-8.4660392310113908E-2</v>
      </c>
    </row>
    <row r="7" spans="1:47" ht="17.25" thickBo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ht="23.45" customHeight="1" thickBot="1" x14ac:dyDescent="0.35">
      <c r="A8" s="41"/>
      <c r="B8" s="41"/>
      <c r="C8" s="615" t="s">
        <v>33</v>
      </c>
      <c r="D8" s="616"/>
      <c r="E8" s="616"/>
      <c r="F8" s="616"/>
      <c r="G8" s="616"/>
      <c r="H8" s="61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ht="15.75" customHeight="1" x14ac:dyDescent="0.3">
      <c r="A9" s="41"/>
      <c r="B9" s="41"/>
      <c r="C9" s="325"/>
      <c r="D9" s="325"/>
      <c r="E9" s="325"/>
      <c r="F9" s="325"/>
      <c r="G9" s="325"/>
      <c r="H9" s="325"/>
      <c r="AU9" s="41"/>
    </row>
    <row r="10" spans="1:47" s="43" customForma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47" s="43" customFormat="1" x14ac:dyDescent="0.3">
      <c r="A11" s="41"/>
      <c r="B11" s="41"/>
      <c r="C11" s="679" t="s">
        <v>373</v>
      </c>
      <c r="D11" s="680"/>
      <c r="E11" s="680"/>
      <c r="F11" s="680"/>
      <c r="G11" s="680"/>
      <c r="H11" s="68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s="43" customForma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s="43" customFormat="1" ht="13.15" customHeight="1" x14ac:dyDescent="0.3">
      <c r="A13" s="41"/>
      <c r="B13" s="296"/>
      <c r="C13" s="614" t="s">
        <v>374</v>
      </c>
      <c r="D13" s="614"/>
      <c r="E13" s="614"/>
      <c r="F13" s="614"/>
      <c r="G13" s="614"/>
      <c r="AU13" s="41"/>
    </row>
    <row r="14" spans="1:47" s="43" customFormat="1" ht="15.75" customHeight="1" x14ac:dyDescent="0.3">
      <c r="A14" s="41"/>
      <c r="B14" s="296">
        <v>1</v>
      </c>
      <c r="C14" s="598" t="s">
        <v>375</v>
      </c>
      <c r="D14" s="599"/>
      <c r="E14" s="599"/>
      <c r="F14" s="599"/>
      <c r="G14" s="600"/>
      <c r="I14" s="308" t="s">
        <v>367</v>
      </c>
      <c r="M14" s="584">
        <v>15380</v>
      </c>
      <c r="N14" s="584">
        <v>15057.091199999999</v>
      </c>
      <c r="O14" s="326">
        <f>'3.BilantPRO'!I16</f>
        <v>14741.401206800001</v>
      </c>
      <c r="P14" s="326">
        <f>'3.BilantPRO'!J16</f>
        <v>14432.759792158871</v>
      </c>
      <c r="Q14" s="326">
        <f>'3.BilantPRO'!K16</f>
        <v>14131.000909413588</v>
      </c>
      <c r="R14" s="326">
        <f>'3.BilantPRO'!L16</f>
        <v>13901.201743022648</v>
      </c>
      <c r="S14" s="326">
        <f>'3.BilantPRO'!M16</f>
        <v>13720.335162346426</v>
      </c>
      <c r="T14" s="326">
        <f>'3.BilantPRO'!N16</f>
        <v>13545.134306459175</v>
      </c>
      <c r="U14" s="326">
        <f>'3.BilantPRO'!O16</f>
        <v>13503.156823883499</v>
      </c>
      <c r="V14" s="326">
        <f>'3.BilantPRO'!P16</f>
        <v>13462.066485436026</v>
      </c>
      <c r="W14" s="326">
        <f>'3.BilantPRO'!Q16</f>
        <v>13421.856756521982</v>
      </c>
      <c r="X14" s="326">
        <f>'3.BilantPRO'!R16</f>
        <v>13382.521179576783</v>
      </c>
      <c r="Y14" s="326">
        <f>'3.BilantPRO'!S16</f>
        <v>13344.053373354134</v>
      </c>
      <c r="Z14" s="326">
        <f>'3.BilantPRO'!T16</f>
        <v>13306.447032221577</v>
      </c>
      <c r="AA14" s="326">
        <f>'3.BilantPRO'!U16</f>
        <v>13269.695925463351</v>
      </c>
      <c r="AB14" s="326">
        <f>'3.BilantPRO'!V16</f>
        <v>13233.793896590527</v>
      </c>
      <c r="AC14" s="326">
        <f>'3.BilantPRO'!W16</f>
        <v>13198.734862658339</v>
      </c>
      <c r="AD14" s="326">
        <f>'3.BilantPRO'!X16</f>
        <v>13164.512813590642</v>
      </c>
      <c r="AE14" s="326">
        <f>'3.BilantPRO'!Y16</f>
        <v>13131.121811511417</v>
      </c>
      <c r="AF14" s="326">
        <f>'3.BilantPRO'!Z16</f>
        <v>13098.555990083269</v>
      </c>
      <c r="AG14" s="326">
        <f>'3.BilantPRO'!AA16</f>
        <v>13066.809553852836</v>
      </c>
      <c r="AH14" s="326">
        <f>'3.BilantPRO'!AB16</f>
        <v>13035.876777603058</v>
      </c>
      <c r="AI14" s="326">
        <f>'3.BilantPRO'!AC16</f>
        <v>13005.752005712224</v>
      </c>
      <c r="AJ14" s="326">
        <f>'3.BilantPRO'!AD16</f>
        <v>12976.429651519724</v>
      </c>
      <c r="AK14" s="326">
        <f>'3.BilantPRO'!AE16</f>
        <v>12947.90419669847</v>
      </c>
      <c r="AL14" s="326">
        <f>'3.BilantPRO'!AF16</f>
        <v>12920.1701906339</v>
      </c>
      <c r="AM14" s="326">
        <f>'3.BilantPRO'!AG16</f>
        <v>12893.222249809489</v>
      </c>
      <c r="AN14" s="326">
        <f>'3.BilantPRO'!AH16</f>
        <v>12867.05505719873</v>
      </c>
      <c r="AO14" s="326">
        <f>'3.BilantPRO'!AI16</f>
        <v>12841.663361663515</v>
      </c>
      <c r="AP14" s="326">
        <f>'3.BilantPRO'!AJ16</f>
        <v>12817.041977358836</v>
      </c>
      <c r="AQ14" s="326">
        <f>'3.BilantPRO'!AK16</f>
        <v>12793.185783143763</v>
      </c>
      <c r="AR14" s="326">
        <f>'3.BilantPRO'!AL16</f>
        <v>12770.089721998635</v>
      </c>
      <c r="AS14" s="326">
        <f>'3.BilantPRO'!AM16</f>
        <v>12747.748800448389</v>
      </c>
      <c r="AU14" s="41"/>
    </row>
    <row r="15" spans="1:47" s="43" customFormat="1" ht="17.45" customHeight="1" x14ac:dyDescent="0.3">
      <c r="A15" s="41"/>
      <c r="B15" s="300">
        <f>B14+1</f>
        <v>2</v>
      </c>
      <c r="C15" s="598" t="s">
        <v>414</v>
      </c>
      <c r="D15" s="599"/>
      <c r="E15" s="599"/>
      <c r="F15" s="599"/>
      <c r="G15" s="600"/>
      <c r="I15" s="315" t="s">
        <v>377</v>
      </c>
      <c r="M15" s="585">
        <v>4.8374512353706098</v>
      </c>
      <c r="N15" s="585">
        <v>4.7951235370611176</v>
      </c>
      <c r="O15" s="327">
        <f t="shared" ref="O15:AH15" si="0">O16/O14</f>
        <v>4.2408811171974579</v>
      </c>
      <c r="P15" s="327">
        <f t="shared" si="0"/>
        <v>4.2037734074219797</v>
      </c>
      <c r="Q15" s="327">
        <f t="shared" si="0"/>
        <v>4.1669903901070366</v>
      </c>
      <c r="R15" s="327">
        <f t="shared" si="0"/>
        <v>4.1305292241936007</v>
      </c>
      <c r="S15" s="327">
        <f t="shared" si="0"/>
        <v>4.094387093481906</v>
      </c>
      <c r="T15" s="327">
        <f t="shared" si="0"/>
        <v>4.0585612064139394</v>
      </c>
      <c r="U15" s="327">
        <f t="shared" si="0"/>
        <v>4.023048795857818</v>
      </c>
      <c r="V15" s="327">
        <f t="shared" si="0"/>
        <v>3.9878471188940616</v>
      </c>
      <c r="W15" s="327">
        <f t="shared" si="0"/>
        <v>3.9529534566037392</v>
      </c>
      <c r="X15" s="327">
        <f t="shared" si="0"/>
        <v>3.9183651138584565</v>
      </c>
      <c r="Y15" s="327">
        <f t="shared" si="0"/>
        <v>3.884079419112195</v>
      </c>
      <c r="Z15" s="327">
        <f t="shared" si="0"/>
        <v>3.8500937241949629</v>
      </c>
      <c r="AA15" s="327">
        <f t="shared" si="0"/>
        <v>3.8164054041082576</v>
      </c>
      <c r="AB15" s="327">
        <f t="shared" si="0"/>
        <v>3.7830118568223101</v>
      </c>
      <c r="AC15" s="327">
        <f t="shared" si="0"/>
        <v>3.7499105030751148</v>
      </c>
      <c r="AD15" s="327">
        <f t="shared" si="0"/>
        <v>3.7170987861732079</v>
      </c>
      <c r="AE15" s="327">
        <f t="shared" si="0"/>
        <v>3.6845741717941922</v>
      </c>
      <c r="AF15" s="327">
        <f t="shared" si="0"/>
        <v>3.652334147790993</v>
      </c>
      <c r="AG15" s="327">
        <f t="shared" si="0"/>
        <v>3.620376223997821</v>
      </c>
      <c r="AH15" s="327">
        <f t="shared" si="0"/>
        <v>3.5886979320378405</v>
      </c>
      <c r="AI15" s="327">
        <f t="shared" ref="AI15:AS15" si="1">AI16/AI14</f>
        <v>3.5572968251325094</v>
      </c>
      <c r="AJ15" s="327">
        <f t="shared" si="1"/>
        <v>3.5572968251325094</v>
      </c>
      <c r="AK15" s="327">
        <f t="shared" si="1"/>
        <v>3.557296825132509</v>
      </c>
      <c r="AL15" s="327">
        <f t="shared" si="1"/>
        <v>3.5572968251325099</v>
      </c>
      <c r="AM15" s="327">
        <f t="shared" si="1"/>
        <v>3.5572968251325094</v>
      </c>
      <c r="AN15" s="327">
        <f t="shared" si="1"/>
        <v>3.5572968251325094</v>
      </c>
      <c r="AO15" s="327">
        <f t="shared" si="1"/>
        <v>3.5572968251325099</v>
      </c>
      <c r="AP15" s="327">
        <f t="shared" si="1"/>
        <v>3.5572968251325099</v>
      </c>
      <c r="AQ15" s="327">
        <f t="shared" si="1"/>
        <v>3.5572968251325103</v>
      </c>
      <c r="AR15" s="327">
        <f t="shared" si="1"/>
        <v>3.5572968251325099</v>
      </c>
      <c r="AS15" s="327">
        <f t="shared" si="1"/>
        <v>3.5572968251325099</v>
      </c>
      <c r="AU15" s="41"/>
    </row>
    <row r="16" spans="1:47" s="43" customFormat="1" ht="16.149999999999999" customHeight="1" x14ac:dyDescent="0.3">
      <c r="A16" s="41"/>
      <c r="B16" s="300">
        <f>B15+1</f>
        <v>3</v>
      </c>
      <c r="C16" s="679" t="s">
        <v>376</v>
      </c>
      <c r="D16" s="680"/>
      <c r="E16" s="680"/>
      <c r="F16" s="680"/>
      <c r="G16" s="681"/>
      <c r="H16" s="317"/>
      <c r="I16" s="313" t="s">
        <v>175</v>
      </c>
      <c r="J16" s="302"/>
      <c r="K16" s="302"/>
      <c r="L16" s="302"/>
      <c r="M16" s="321">
        <v>74399.999999999985</v>
      </c>
      <c r="N16" s="321">
        <v>64419</v>
      </c>
      <c r="O16" s="321">
        <f>'3.BilantPRO'!I20/'1.Input'!$K$63*1000</f>
        <v>62516.530018949939</v>
      </c>
      <c r="P16" s="321">
        <f>'3.BilantPRO'!J20/'1.Input'!$K$63*1000</f>
        <v>60672.051809986639</v>
      </c>
      <c r="Q16" s="321">
        <f>'3.BilantPRO'!K20/'1.Input'!$K$63*1000</f>
        <v>58883.744992120221</v>
      </c>
      <c r="R16" s="321">
        <f>'3.BilantPRO'!L20/'1.Input'!$K$63*1000</f>
        <v>57419.320050966067</v>
      </c>
      <c r="S16" s="321">
        <f>'3.BilantPRO'!M20/'1.Input'!$K$63*1000</f>
        <v>56176.363206957183</v>
      </c>
      <c r="T16" s="321">
        <f>'3.BilantPRO'!N20/'1.Input'!$K$63*1000</f>
        <v>54973.75663186179</v>
      </c>
      <c r="U16" s="321">
        <f>'3.BilantPRO'!O20/'1.Input'!$K$63*1000</f>
        <v>54323.85880060379</v>
      </c>
      <c r="V16" s="321">
        <f>'3.BilantPRO'!P20/'1.Input'!$K$63*1000</f>
        <v>53684.663048306364</v>
      </c>
      <c r="W16" s="321">
        <f>'3.BilantPRO'!Q20/'1.Input'!$K$63*1000</f>
        <v>53055.975059733821</v>
      </c>
      <c r="X16" s="321">
        <f>'3.BilantPRO'!R20/'1.Input'!$K$63*1000</f>
        <v>52437.604125525584</v>
      </c>
      <c r="Y16" s="321">
        <f>'3.BilantPRO'!S20/'1.Input'!$K$63*1000</f>
        <v>51829.363074979454</v>
      </c>
      <c r="Z16" s="321">
        <f>'3.BilantPRO'!T20/'1.Input'!$K$63*1000</f>
        <v>51231.068210088983</v>
      </c>
      <c r="AA16" s="321">
        <f>'3.BilantPRO'!U20/'1.Input'!$K$63*1000</f>
        <v>50642.53924081166</v>
      </c>
      <c r="AB16" s="321">
        <f>'3.BilantPRO'!V20/'1.Input'!$K$63*1000</f>
        <v>50063.599221544682</v>
      </c>
      <c r="AC16" s="321">
        <f>'3.BilantPRO'!W20/'1.Input'!$K$63*1000</f>
        <v>49494.074488786187</v>
      </c>
      <c r="AD16" s="321">
        <f>'3.BilantPRO'!X20/'1.Input'!$K$63*1000</f>
        <v>48933.794599959416</v>
      </c>
      <c r="AE16" s="321">
        <f>'3.BilantPRO'!Y20/'1.Input'!$K$63*1000</f>
        <v>48382.59227337833</v>
      </c>
      <c r="AF16" s="321">
        <f>'3.BilantPRO'!Z20/'1.Input'!$K$63*1000</f>
        <v>47840.303329333379</v>
      </c>
      <c r="AG16" s="321">
        <f>'3.BilantPRO'!AA20/'1.Input'!$K$63*1000</f>
        <v>47306.766632276383</v>
      </c>
      <c r="AH16" s="321">
        <f>'3.BilantPRO'!AB20/'1.Input'!$K$63*1000</f>
        <v>46781.824034084202</v>
      </c>
      <c r="AI16" s="321">
        <f>'3.BilantPRO'!AC20/'1.Input'!$K$63*1000</f>
        <v>46265.320318380858</v>
      </c>
      <c r="AJ16" s="321">
        <f>'3.BilantPRO'!AD20/'1.Input'!$K$63*1000</f>
        <v>46161.01200090647</v>
      </c>
      <c r="AK16" s="321">
        <f>'3.BilantPRO'!AE20/'1.Input'!$K$63*1000</f>
        <v>46059.538491035353</v>
      </c>
      <c r="AL16" s="321">
        <f>'3.BilantPRO'!AF20/'1.Input'!$K$63*1000</f>
        <v>45960.880399313668</v>
      </c>
      <c r="AM16" s="321">
        <f>'3.BilantPRO'!AG20/'1.Input'!$K$63*1000</f>
        <v>45865.018574975125</v>
      </c>
      <c r="AN16" s="321">
        <f>'3.BilantPRO'!AH20/'1.Input'!$K$63*1000</f>
        <v>45771.934103778243</v>
      </c>
      <c r="AO16" s="321">
        <f>'3.BilantPRO'!AI20/'1.Input'!$K$63*1000</f>
        <v>45681.608305866095</v>
      </c>
      <c r="AP16" s="321">
        <f>'3.BilantPRO'!AJ20/'1.Input'!$K$63*1000</f>
        <v>45594.022733648693</v>
      </c>
      <c r="AQ16" s="321">
        <f>'3.BilantPRO'!AK20/'1.Input'!$K$63*1000</f>
        <v>45509.159169707673</v>
      </c>
      <c r="AR16" s="321">
        <f>'3.BilantPRO'!AL20/'1.Input'!$K$63*1000</f>
        <v>45426.999624723037</v>
      </c>
      <c r="AS16" s="321">
        <f>'3.BilantPRO'!AM20/'1.Input'!$K$63*1000</f>
        <v>45347.526335421819</v>
      </c>
      <c r="AU16" s="41"/>
    </row>
    <row r="17" spans="1:47" s="43" customFormat="1" ht="11.45" customHeight="1" x14ac:dyDescent="0.3">
      <c r="A17" s="41"/>
      <c r="B17" s="300"/>
      <c r="C17" s="306"/>
      <c r="D17" s="306"/>
      <c r="E17" s="306"/>
      <c r="F17" s="306"/>
      <c r="G17" s="306"/>
      <c r="I17" s="302"/>
      <c r="J17" s="302"/>
      <c r="K17" s="302"/>
      <c r="L17" s="302"/>
      <c r="AU17" s="41"/>
    </row>
    <row r="18" spans="1:47" s="43" customFormat="1" ht="15.6" customHeight="1" x14ac:dyDescent="0.3">
      <c r="A18" s="41"/>
      <c r="B18" s="296"/>
      <c r="C18" s="614" t="s">
        <v>378</v>
      </c>
      <c r="D18" s="614"/>
      <c r="E18" s="614"/>
      <c r="F18" s="614"/>
      <c r="G18" s="614"/>
      <c r="AU18" s="41"/>
    </row>
    <row r="19" spans="1:47" s="43" customFormat="1" ht="14.25" customHeight="1" x14ac:dyDescent="0.3">
      <c r="A19" s="41"/>
      <c r="B19" s="300">
        <f>B16+1</f>
        <v>4</v>
      </c>
      <c r="C19" s="598" t="s">
        <v>379</v>
      </c>
      <c r="D19" s="599"/>
      <c r="E19" s="599"/>
      <c r="F19" s="599"/>
      <c r="G19" s="600"/>
      <c r="I19" s="308" t="s">
        <v>175</v>
      </c>
      <c r="M19" s="316">
        <v>18959</v>
      </c>
      <c r="N19" s="316">
        <v>20149</v>
      </c>
      <c r="O19" s="316">
        <f>'3.BilantPRO'!I21*1000/'1.Input'!$K$63</f>
        <v>19796.392499999998</v>
      </c>
      <c r="P19" s="316">
        <f>'3.BilantPRO'!J21*1000/'1.Input'!$K$63</f>
        <v>19449.955631249995</v>
      </c>
      <c r="Q19" s="316">
        <f>'3.BilantPRO'!K21*1000/'1.Input'!$K$63</f>
        <v>19109.581407703125</v>
      </c>
      <c r="R19" s="316">
        <f>'3.BilantPRO'!L21*1000/'1.Input'!$K$63</f>
        <v>18775.163733068319</v>
      </c>
      <c r="S19" s="316">
        <f>'3.BilantPRO'!M21*1000/'1.Input'!$K$63</f>
        <v>18446.598367739625</v>
      </c>
      <c r="T19" s="316">
        <f>'3.BilantPRO'!N21*1000/'1.Input'!$K$63</f>
        <v>18123.782896304183</v>
      </c>
      <c r="U19" s="316">
        <f>'3.BilantPRO'!O21*1000/'1.Input'!$K$63</f>
        <v>17806.616695618857</v>
      </c>
      <c r="V19" s="316">
        <f>'3.BilantPRO'!P21*1000/'1.Input'!$K$63</f>
        <v>17495.000903445532</v>
      </c>
      <c r="W19" s="316">
        <f>'3.BilantPRO'!Q21*1000/'1.Input'!$K$63</f>
        <v>17188.838387635235</v>
      </c>
      <c r="X19" s="316">
        <f>'3.BilantPRO'!R21*1000/'1.Input'!$K$63</f>
        <v>16888.033715851612</v>
      </c>
      <c r="Y19" s="316">
        <f>'3.BilantPRO'!S21*1000/'1.Input'!$K$63</f>
        <v>16888.033715851612</v>
      </c>
      <c r="Z19" s="316">
        <f>'3.BilantPRO'!T21*1000/'1.Input'!$K$63</f>
        <v>16888.033715851612</v>
      </c>
      <c r="AA19" s="316">
        <f>'3.BilantPRO'!U21*1000/'1.Input'!$K$63</f>
        <v>16888.033715851612</v>
      </c>
      <c r="AB19" s="316">
        <f>'3.BilantPRO'!V21*1000/'1.Input'!$K$63</f>
        <v>16888.033715851612</v>
      </c>
      <c r="AC19" s="316">
        <f>'3.BilantPRO'!W21*1000/'1.Input'!$K$63</f>
        <v>16888.033715851612</v>
      </c>
      <c r="AD19" s="316">
        <f>'3.BilantPRO'!X21*1000/'1.Input'!$K$63</f>
        <v>16888.033715851612</v>
      </c>
      <c r="AE19" s="316">
        <f>'3.BilantPRO'!Y21*1000/'1.Input'!$K$63</f>
        <v>16888.033715851612</v>
      </c>
      <c r="AF19" s="316">
        <f>'3.BilantPRO'!Z21*1000/'1.Input'!$K$63</f>
        <v>16888.033715851612</v>
      </c>
      <c r="AG19" s="316">
        <f>'3.BilantPRO'!AA21*1000/'1.Input'!$K$63</f>
        <v>16888.033715851612</v>
      </c>
      <c r="AH19" s="316">
        <f>'3.BilantPRO'!AB21*1000/'1.Input'!$K$63</f>
        <v>16888.033715851612</v>
      </c>
      <c r="AI19" s="316">
        <f>'3.BilantPRO'!AC21*1000/'1.Input'!$K$63</f>
        <v>16888.033715851612</v>
      </c>
      <c r="AJ19" s="316">
        <f>'3.BilantPRO'!AD21*1000/'1.Input'!$K$63</f>
        <v>16888.033715851612</v>
      </c>
      <c r="AK19" s="316">
        <f>'3.BilantPRO'!AE21*1000/'1.Input'!$K$63</f>
        <v>16888.033715851612</v>
      </c>
      <c r="AL19" s="316">
        <f>'3.BilantPRO'!AF21*1000/'1.Input'!$K$63</f>
        <v>16888.033715851612</v>
      </c>
      <c r="AM19" s="316">
        <f>'3.BilantPRO'!AG21*1000/'1.Input'!$K$63</f>
        <v>16888.033715851612</v>
      </c>
      <c r="AN19" s="316">
        <f>'3.BilantPRO'!AH21*1000/'1.Input'!$K$63</f>
        <v>16888.033715851612</v>
      </c>
      <c r="AO19" s="316">
        <f>'3.BilantPRO'!AI21*1000/'1.Input'!$K$63</f>
        <v>16888.033715851612</v>
      </c>
      <c r="AP19" s="316">
        <f>'3.BilantPRO'!AJ21*1000/'1.Input'!$K$63</f>
        <v>16888.033715851612</v>
      </c>
      <c r="AQ19" s="316">
        <f>'3.BilantPRO'!AK21*1000/'1.Input'!$K$63</f>
        <v>16888.033715851612</v>
      </c>
      <c r="AR19" s="316">
        <f>'3.BilantPRO'!AL21*1000/'1.Input'!$K$63</f>
        <v>16888.033715851612</v>
      </c>
      <c r="AS19" s="316">
        <f>'3.BilantPRO'!AM21*1000/'1.Input'!$K$63</f>
        <v>16888.033715851612</v>
      </c>
      <c r="AU19" s="41"/>
    </row>
    <row r="20" spans="1:47" s="43" customFormat="1" ht="17.45" customHeight="1" x14ac:dyDescent="0.3">
      <c r="A20" s="41"/>
      <c r="B20" s="300">
        <f>B19+1</f>
        <v>5</v>
      </c>
      <c r="C20" s="679" t="s">
        <v>380</v>
      </c>
      <c r="D20" s="680"/>
      <c r="E20" s="680"/>
      <c r="F20" s="680"/>
      <c r="G20" s="681"/>
      <c r="H20" s="317"/>
      <c r="I20" s="313" t="s">
        <v>175</v>
      </c>
      <c r="J20" s="302"/>
      <c r="K20" s="302"/>
      <c r="L20" s="302"/>
      <c r="M20" s="321">
        <f>M19</f>
        <v>18959</v>
      </c>
      <c r="N20" s="321">
        <f t="shared" ref="N20:AH20" si="2">N19</f>
        <v>20149</v>
      </c>
      <c r="O20" s="321">
        <f t="shared" si="2"/>
        <v>19796.392499999998</v>
      </c>
      <c r="P20" s="321">
        <f t="shared" si="2"/>
        <v>19449.955631249995</v>
      </c>
      <c r="Q20" s="321">
        <f t="shared" si="2"/>
        <v>19109.581407703125</v>
      </c>
      <c r="R20" s="321">
        <f t="shared" si="2"/>
        <v>18775.163733068319</v>
      </c>
      <c r="S20" s="321">
        <f t="shared" si="2"/>
        <v>18446.598367739625</v>
      </c>
      <c r="T20" s="321">
        <f t="shared" si="2"/>
        <v>18123.782896304183</v>
      </c>
      <c r="U20" s="321">
        <f t="shared" si="2"/>
        <v>17806.616695618857</v>
      </c>
      <c r="V20" s="321">
        <f t="shared" si="2"/>
        <v>17495.000903445532</v>
      </c>
      <c r="W20" s="321">
        <f t="shared" si="2"/>
        <v>17188.838387635235</v>
      </c>
      <c r="X20" s="321">
        <f t="shared" si="2"/>
        <v>16888.033715851612</v>
      </c>
      <c r="Y20" s="321">
        <f t="shared" si="2"/>
        <v>16888.033715851612</v>
      </c>
      <c r="Z20" s="321">
        <f t="shared" si="2"/>
        <v>16888.033715851612</v>
      </c>
      <c r="AA20" s="321">
        <f t="shared" si="2"/>
        <v>16888.033715851612</v>
      </c>
      <c r="AB20" s="321">
        <f t="shared" si="2"/>
        <v>16888.033715851612</v>
      </c>
      <c r="AC20" s="321">
        <f t="shared" si="2"/>
        <v>16888.033715851612</v>
      </c>
      <c r="AD20" s="321">
        <f t="shared" si="2"/>
        <v>16888.033715851612</v>
      </c>
      <c r="AE20" s="321">
        <f t="shared" si="2"/>
        <v>16888.033715851612</v>
      </c>
      <c r="AF20" s="321">
        <f t="shared" si="2"/>
        <v>16888.033715851612</v>
      </c>
      <c r="AG20" s="321">
        <f t="shared" si="2"/>
        <v>16888.033715851612</v>
      </c>
      <c r="AH20" s="321">
        <f t="shared" si="2"/>
        <v>16888.033715851612</v>
      </c>
      <c r="AI20" s="321">
        <f t="shared" ref="AI20:AS20" si="3">AI19</f>
        <v>16888.033715851612</v>
      </c>
      <c r="AJ20" s="321">
        <f t="shared" si="3"/>
        <v>16888.033715851612</v>
      </c>
      <c r="AK20" s="321">
        <f t="shared" si="3"/>
        <v>16888.033715851612</v>
      </c>
      <c r="AL20" s="321">
        <f t="shared" si="3"/>
        <v>16888.033715851612</v>
      </c>
      <c r="AM20" s="321">
        <f t="shared" si="3"/>
        <v>16888.033715851612</v>
      </c>
      <c r="AN20" s="321">
        <f t="shared" si="3"/>
        <v>16888.033715851612</v>
      </c>
      <c r="AO20" s="321">
        <f t="shared" si="3"/>
        <v>16888.033715851612</v>
      </c>
      <c r="AP20" s="321">
        <f t="shared" si="3"/>
        <v>16888.033715851612</v>
      </c>
      <c r="AQ20" s="321">
        <f t="shared" si="3"/>
        <v>16888.033715851612</v>
      </c>
      <c r="AR20" s="321">
        <f t="shared" si="3"/>
        <v>16888.033715851612</v>
      </c>
      <c r="AS20" s="321">
        <f t="shared" si="3"/>
        <v>16888.033715851612</v>
      </c>
      <c r="AU20" s="41"/>
    </row>
    <row r="21" spans="1:47" s="43" customFormat="1" ht="12.6" customHeight="1" x14ac:dyDescent="0.3">
      <c r="A21" s="41"/>
      <c r="B21" s="300"/>
      <c r="C21" s="306"/>
      <c r="D21" s="306"/>
      <c r="E21" s="306"/>
      <c r="F21" s="306"/>
      <c r="G21" s="306"/>
      <c r="I21" s="302"/>
      <c r="J21" s="302"/>
      <c r="K21" s="302"/>
      <c r="L21" s="302"/>
      <c r="AU21" s="41"/>
    </row>
    <row r="22" spans="1:47" s="43" customFormat="1" ht="15.6" customHeight="1" x14ac:dyDescent="0.3">
      <c r="A22" s="41"/>
      <c r="B22" s="296"/>
      <c r="C22" s="614" t="s">
        <v>381</v>
      </c>
      <c r="D22" s="614"/>
      <c r="E22" s="614"/>
      <c r="F22" s="614"/>
      <c r="G22" s="614"/>
      <c r="AU22" s="41"/>
    </row>
    <row r="23" spans="1:47" s="43" customFormat="1" ht="14.25" customHeight="1" x14ac:dyDescent="0.3">
      <c r="A23" s="41"/>
      <c r="B23" s="300">
        <f>B20+1</f>
        <v>6</v>
      </c>
      <c r="C23" s="598" t="s">
        <v>382</v>
      </c>
      <c r="D23" s="599"/>
      <c r="E23" s="599"/>
      <c r="F23" s="599"/>
      <c r="G23" s="600"/>
      <c r="I23" s="315" t="s">
        <v>175</v>
      </c>
      <c r="M23" s="316">
        <f>M16+M20</f>
        <v>93358.999999999985</v>
      </c>
      <c r="N23" s="316">
        <f t="shared" ref="N23:AH23" si="4">N16+N20</f>
        <v>84568</v>
      </c>
      <c r="O23" s="316">
        <f t="shared" si="4"/>
        <v>82312.922518949941</v>
      </c>
      <c r="P23" s="316">
        <f t="shared" si="4"/>
        <v>80122.007441236638</v>
      </c>
      <c r="Q23" s="316">
        <f t="shared" si="4"/>
        <v>77993.326399823345</v>
      </c>
      <c r="R23" s="316">
        <f t="shared" si="4"/>
        <v>76194.483784034383</v>
      </c>
      <c r="S23" s="316">
        <f t="shared" si="4"/>
        <v>74622.961574696805</v>
      </c>
      <c r="T23" s="316">
        <f t="shared" si="4"/>
        <v>73097.539528165973</v>
      </c>
      <c r="U23" s="316">
        <f t="shared" si="4"/>
        <v>72130.475496222643</v>
      </c>
      <c r="V23" s="316">
        <f t="shared" si="4"/>
        <v>71179.663951751892</v>
      </c>
      <c r="W23" s="316">
        <f t="shared" si="4"/>
        <v>70244.813447369059</v>
      </c>
      <c r="X23" s="316">
        <f t="shared" si="4"/>
        <v>69325.637841377204</v>
      </c>
      <c r="Y23" s="316">
        <f t="shared" si="4"/>
        <v>68717.396790831059</v>
      </c>
      <c r="Z23" s="316">
        <f t="shared" si="4"/>
        <v>68119.101925940602</v>
      </c>
      <c r="AA23" s="316">
        <f t="shared" si="4"/>
        <v>67530.572956663265</v>
      </c>
      <c r="AB23" s="316">
        <f t="shared" si="4"/>
        <v>66951.632937396294</v>
      </c>
      <c r="AC23" s="316">
        <f t="shared" si="4"/>
        <v>66382.1082046378</v>
      </c>
      <c r="AD23" s="316">
        <f t="shared" si="4"/>
        <v>65821.828315811028</v>
      </c>
      <c r="AE23" s="316">
        <f t="shared" si="4"/>
        <v>65270.625989229942</v>
      </c>
      <c r="AF23" s="316">
        <f t="shared" si="4"/>
        <v>64728.337045184991</v>
      </c>
      <c r="AG23" s="316">
        <f t="shared" si="4"/>
        <v>64194.800348127996</v>
      </c>
      <c r="AH23" s="316">
        <f t="shared" si="4"/>
        <v>63669.857749935814</v>
      </c>
      <c r="AI23" s="316">
        <f t="shared" ref="AI23:AS23" si="5">AI16+AI20</f>
        <v>63153.35403423247</v>
      </c>
      <c r="AJ23" s="316">
        <f t="shared" si="5"/>
        <v>63049.045716758083</v>
      </c>
      <c r="AK23" s="316">
        <f t="shared" si="5"/>
        <v>62947.572206886965</v>
      </c>
      <c r="AL23" s="316">
        <f t="shared" si="5"/>
        <v>62848.91411516528</v>
      </c>
      <c r="AM23" s="316">
        <f t="shared" si="5"/>
        <v>62753.052290826738</v>
      </c>
      <c r="AN23" s="316">
        <f t="shared" si="5"/>
        <v>62659.967819629856</v>
      </c>
      <c r="AO23" s="316">
        <f t="shared" si="5"/>
        <v>62569.642021717707</v>
      </c>
      <c r="AP23" s="316">
        <f t="shared" si="5"/>
        <v>62482.056449500305</v>
      </c>
      <c r="AQ23" s="316">
        <f t="shared" si="5"/>
        <v>62397.192885559285</v>
      </c>
      <c r="AR23" s="316">
        <f t="shared" si="5"/>
        <v>62315.03334057465</v>
      </c>
      <c r="AS23" s="316">
        <f t="shared" si="5"/>
        <v>62235.560051273431</v>
      </c>
      <c r="AU23" s="41"/>
    </row>
    <row r="24" spans="1:47" s="43" customFormat="1" ht="14.25" customHeight="1" x14ac:dyDescent="0.3">
      <c r="A24" s="41"/>
      <c r="B24" s="601">
        <f>B23+1</f>
        <v>7</v>
      </c>
      <c r="C24" s="602" t="s">
        <v>383</v>
      </c>
      <c r="D24" s="603"/>
      <c r="E24" s="603"/>
      <c r="F24" s="603"/>
      <c r="G24" s="604"/>
      <c r="H24" s="317"/>
      <c r="I24" s="315" t="s">
        <v>15</v>
      </c>
      <c r="J24" s="318"/>
      <c r="K24" s="318"/>
      <c r="L24" s="318"/>
      <c r="M24" s="586">
        <f>0.433493376300214*100</f>
        <v>43.349337630021402</v>
      </c>
      <c r="N24" s="586">
        <f>0.44180971342816*100</f>
        <v>44.180971342816001</v>
      </c>
      <c r="O24" s="328">
        <f>'3.BilantPRO'!I42</f>
        <v>44.228251609885405</v>
      </c>
      <c r="P24" s="328">
        <f>'3.BilantPRO'!J42</f>
        <v>44.894700518080782</v>
      </c>
      <c r="Q24" s="328">
        <f>'3.BilantPRO'!K42</f>
        <v>45.561741400132995</v>
      </c>
      <c r="R24" s="328">
        <f>'3.BilantPRO'!L42</f>
        <v>44.483958374650541</v>
      </c>
      <c r="S24" s="328">
        <f>'3.BilantPRO'!M42</f>
        <v>41.874195295405912</v>
      </c>
      <c r="T24" s="328">
        <f>'3.BilantPRO'!N42</f>
        <v>38.664980631711479</v>
      </c>
      <c r="U24" s="328">
        <f>'3.BilantPRO'!O42</f>
        <v>38.981293767672817</v>
      </c>
      <c r="V24" s="328">
        <f>'3.BilantPRO'!P42</f>
        <v>39.297377551442516</v>
      </c>
      <c r="W24" s="328">
        <f>'3.BilantPRO'!Q42</f>
        <v>39.613193122143954</v>
      </c>
      <c r="X24" s="328">
        <f>'3.BilantPRO'!R42</f>
        <v>39.928701927271653</v>
      </c>
      <c r="Y24" s="328">
        <f>'3.BilantPRO'!S42</f>
        <v>40.140259730368882</v>
      </c>
      <c r="Z24" s="328">
        <f>'3.BilantPRO'!T42</f>
        <v>40.350556661516471</v>
      </c>
      <c r="AA24" s="328">
        <f>'3.BilantPRO'!U42</f>
        <v>40.559581933105896</v>
      </c>
      <c r="AB24" s="328">
        <f>'3.BilantPRO'!V42</f>
        <v>40.767325321608745</v>
      </c>
      <c r="AC24" s="328">
        <f>'3.BilantPRO'!W42</f>
        <v>40.973777162682943</v>
      </c>
      <c r="AD24" s="328">
        <f>'3.BilantPRO'!X42</f>
        <v>41.178928345927616</v>
      </c>
      <c r="AE24" s="328">
        <f>'3.BilantPRO'!Y42</f>
        <v>41.38277030930157</v>
      </c>
      <c r="AF24" s="328">
        <f>'3.BilantPRO'!Z42</f>
        <v>41.58529503322022</v>
      </c>
      <c r="AG24" s="328">
        <f>'3.BilantPRO'!AA42</f>
        <v>41.786495034346189</v>
      </c>
      <c r="AH24" s="328">
        <f>'3.BilantPRO'!AB42</f>
        <v>41.986363359088422</v>
      </c>
      <c r="AI24" s="328">
        <f>'3.BilantPRO'!AC42</f>
        <v>42.184893576825004</v>
      </c>
      <c r="AJ24" s="328">
        <f>'3.BilantPRO'!AD42</f>
        <v>42.225214987552853</v>
      </c>
      <c r="AK24" s="328">
        <f>'3.BilantPRO'!AE42</f>
        <v>42.264514610944282</v>
      </c>
      <c r="AL24" s="328">
        <f>'3.BilantPRO'!AF42</f>
        <v>42.302794053133518</v>
      </c>
      <c r="AM24" s="328">
        <f>'3.BilantPRO'!AG42</f>
        <v>42.340055019294098</v>
      </c>
      <c r="AN24" s="328">
        <f>'3.BilantPRO'!AH42</f>
        <v>42.376299312275762</v>
      </c>
      <c r="AO24" s="328">
        <f>'3.BilantPRO'!AI42</f>
        <v>42.411528831231387</v>
      </c>
      <c r="AP24" s="328">
        <f>'3.BilantPRO'!AJ42</f>
        <v>42.445745570234699</v>
      </c>
      <c r="AQ24" s="328">
        <f>'3.BilantPRO'!AK42</f>
        <v>42.478951616889418</v>
      </c>
      <c r="AR24" s="328">
        <f>'3.BilantPRO'!AL42</f>
        <v>42.511149150930635</v>
      </c>
      <c r="AS24" s="328">
        <f>'3.BilantPRO'!AM42</f>
        <v>42.542340442819111</v>
      </c>
      <c r="AU24" s="41"/>
    </row>
    <row r="25" spans="1:47" s="43" customFormat="1" ht="14.25" customHeight="1" x14ac:dyDescent="0.3">
      <c r="A25" s="41"/>
      <c r="B25" s="601"/>
      <c r="C25" s="605"/>
      <c r="D25" s="606"/>
      <c r="E25" s="606"/>
      <c r="F25" s="606"/>
      <c r="G25" s="607"/>
      <c r="I25" s="315" t="s">
        <v>175</v>
      </c>
      <c r="J25" s="302"/>
      <c r="K25" s="302"/>
      <c r="L25" s="302"/>
      <c r="M25" s="319">
        <f>'3.BilantPRO'!G43*1000/'1.Input'!$K$63</f>
        <v>66722</v>
      </c>
      <c r="N25" s="319">
        <f>'3.BilantPRO'!H43*1000/'1.Input'!$K$63</f>
        <v>65275.999999999993</v>
      </c>
      <c r="O25" s="319">
        <f>'3.BilantPRO'!I43*1000/'1.Input'!$K$63</f>
        <v>65275.999999999993</v>
      </c>
      <c r="P25" s="319">
        <f>'3.BilantPRO'!J43*1000/'1.Input'!$K$63</f>
        <v>65275.999999999993</v>
      </c>
      <c r="Q25" s="319">
        <f>'3.BilantPRO'!K43*1000/'1.Input'!$K$63</f>
        <v>65275.999999999993</v>
      </c>
      <c r="R25" s="319">
        <f>'3.BilantPRO'!L43*1000/'1.Input'!$K$63</f>
        <v>61053.204547625857</v>
      </c>
      <c r="S25" s="319">
        <f>'3.BilantPRO'!M43*1000/'1.Input'!$K$63</f>
        <v>53758.850864622131</v>
      </c>
      <c r="T25" s="319">
        <f>'3.BilantPRO'!N43*1000/'1.Input'!$K$63</f>
        <v>46079.955288048135</v>
      </c>
      <c r="U25" s="319">
        <f>'3.BilantPRO'!O43*1000/'1.Input'!$K$63</f>
        <v>46079.955288048135</v>
      </c>
      <c r="V25" s="319">
        <f>'3.BilantPRO'!P43*1000/'1.Input'!$K$63</f>
        <v>46079.955288048135</v>
      </c>
      <c r="W25" s="319">
        <f>'3.BilantPRO'!Q43*1000/'1.Input'!$K$63</f>
        <v>46079.955288048135</v>
      </c>
      <c r="X25" s="319">
        <f>'3.BilantPRO'!R43*1000/'1.Input'!$K$63</f>
        <v>46079.955288048135</v>
      </c>
      <c r="Y25" s="319">
        <f>'3.BilantPRO'!S43*1000/'1.Input'!$K$63</f>
        <v>46079.955288048135</v>
      </c>
      <c r="Z25" s="319">
        <f>'3.BilantPRO'!T43*1000/'1.Input'!$K$63</f>
        <v>46079.955288048135</v>
      </c>
      <c r="AA25" s="319">
        <f>'3.BilantPRO'!U43*1000/'1.Input'!$K$63</f>
        <v>46079.955288048135</v>
      </c>
      <c r="AB25" s="319">
        <f>'3.BilantPRO'!V43*1000/'1.Input'!$K$63</f>
        <v>46079.955288048135</v>
      </c>
      <c r="AC25" s="319">
        <f>'3.BilantPRO'!W43*1000/'1.Input'!$K$63</f>
        <v>46079.955288048135</v>
      </c>
      <c r="AD25" s="319">
        <f>'3.BilantPRO'!X43*1000/'1.Input'!$K$63</f>
        <v>46079.955288048135</v>
      </c>
      <c r="AE25" s="319">
        <f>'3.BilantPRO'!Y43*1000/'1.Input'!$K$63</f>
        <v>46079.955288048135</v>
      </c>
      <c r="AF25" s="319">
        <f>'3.BilantPRO'!Z43*1000/'1.Input'!$K$63</f>
        <v>46079.955288048135</v>
      </c>
      <c r="AG25" s="319">
        <f>'3.BilantPRO'!AA43*1000/'1.Input'!$K$63</f>
        <v>46079.955288048135</v>
      </c>
      <c r="AH25" s="319">
        <f>'3.BilantPRO'!AB43*1000/'1.Input'!$K$63</f>
        <v>46079.955288048135</v>
      </c>
      <c r="AI25" s="319">
        <f>'3.BilantPRO'!AC43*1000/'1.Input'!$K$63</f>
        <v>46079.955288048135</v>
      </c>
      <c r="AJ25" s="319">
        <f>'3.BilantPRO'!AD43*1000/'1.Input'!$K$63</f>
        <v>46079.955288048135</v>
      </c>
      <c r="AK25" s="319">
        <f>'3.BilantPRO'!AE43*1000/'1.Input'!$K$63</f>
        <v>46079.955288048135</v>
      </c>
      <c r="AL25" s="319">
        <f>'3.BilantPRO'!AF43*1000/'1.Input'!$K$63</f>
        <v>46079.955288048135</v>
      </c>
      <c r="AM25" s="319">
        <f>'3.BilantPRO'!AG43*1000/'1.Input'!$K$63</f>
        <v>46079.955288048135</v>
      </c>
      <c r="AN25" s="319">
        <f>'3.BilantPRO'!AH43*1000/'1.Input'!$K$63</f>
        <v>46079.955288048135</v>
      </c>
      <c r="AO25" s="319">
        <f>'3.BilantPRO'!AI43*1000/'1.Input'!$K$63</f>
        <v>46079.955288048135</v>
      </c>
      <c r="AP25" s="319">
        <f>'3.BilantPRO'!AJ43*1000/'1.Input'!$K$63</f>
        <v>46079.955288048135</v>
      </c>
      <c r="AQ25" s="319">
        <f>'3.BilantPRO'!AK43*1000/'1.Input'!$K$63</f>
        <v>46079.955288048135</v>
      </c>
      <c r="AR25" s="319">
        <f>'3.BilantPRO'!AL43*1000/'1.Input'!$K$63</f>
        <v>46079.955288048135</v>
      </c>
      <c r="AS25" s="319">
        <f>'3.BilantPRO'!AM43*1000/'1.Input'!$K$63</f>
        <v>46079.955288048135</v>
      </c>
      <c r="AU25" s="41"/>
    </row>
    <row r="26" spans="1:47" s="43" customFormat="1" ht="22.15" customHeight="1" x14ac:dyDescent="0.3">
      <c r="A26" s="41"/>
      <c r="B26" s="300">
        <f>B24+1</f>
        <v>8</v>
      </c>
      <c r="C26" s="679" t="s">
        <v>384</v>
      </c>
      <c r="D26" s="680"/>
      <c r="E26" s="680"/>
      <c r="F26" s="680"/>
      <c r="G26" s="681"/>
      <c r="H26" s="317"/>
      <c r="I26" s="313" t="s">
        <v>175</v>
      </c>
      <c r="J26" s="302"/>
      <c r="K26" s="302"/>
      <c r="L26" s="302"/>
      <c r="M26" s="321">
        <f>M23+M25</f>
        <v>160081</v>
      </c>
      <c r="N26" s="321">
        <f t="shared" ref="N26:AH26" si="6">N23+N25</f>
        <v>149844</v>
      </c>
      <c r="O26" s="321">
        <f t="shared" si="6"/>
        <v>147588.92251894993</v>
      </c>
      <c r="P26" s="321">
        <f t="shared" si="6"/>
        <v>145398.00744123664</v>
      </c>
      <c r="Q26" s="321">
        <f t="shared" si="6"/>
        <v>143269.32639982333</v>
      </c>
      <c r="R26" s="321">
        <f t="shared" si="6"/>
        <v>137247.68833166023</v>
      </c>
      <c r="S26" s="321">
        <f t="shared" si="6"/>
        <v>128381.81243931894</v>
      </c>
      <c r="T26" s="321">
        <f t="shared" si="6"/>
        <v>119177.49481621411</v>
      </c>
      <c r="U26" s="321">
        <f t="shared" si="6"/>
        <v>118210.43078427078</v>
      </c>
      <c r="V26" s="321">
        <f t="shared" si="6"/>
        <v>117259.61923980003</v>
      </c>
      <c r="W26" s="321">
        <f t="shared" si="6"/>
        <v>116324.76873541719</v>
      </c>
      <c r="X26" s="321">
        <f t="shared" si="6"/>
        <v>115405.59312942534</v>
      </c>
      <c r="Y26" s="321">
        <f t="shared" si="6"/>
        <v>114797.35207887919</v>
      </c>
      <c r="Z26" s="321">
        <f t="shared" si="6"/>
        <v>114199.05721398874</v>
      </c>
      <c r="AA26" s="321">
        <f t="shared" si="6"/>
        <v>113610.5282447114</v>
      </c>
      <c r="AB26" s="321">
        <f t="shared" si="6"/>
        <v>113031.58822544443</v>
      </c>
      <c r="AC26" s="321">
        <f t="shared" si="6"/>
        <v>112462.06349268593</v>
      </c>
      <c r="AD26" s="321">
        <f t="shared" si="6"/>
        <v>111901.78360385916</v>
      </c>
      <c r="AE26" s="321">
        <f t="shared" si="6"/>
        <v>111350.58127727808</v>
      </c>
      <c r="AF26" s="321">
        <f t="shared" si="6"/>
        <v>110808.29233323313</v>
      </c>
      <c r="AG26" s="321">
        <f t="shared" si="6"/>
        <v>110274.75563617612</v>
      </c>
      <c r="AH26" s="321">
        <f t="shared" si="6"/>
        <v>109749.81303798396</v>
      </c>
      <c r="AI26" s="321">
        <f t="shared" ref="AI26:AS26" si="7">AI23+AI25</f>
        <v>109233.30932228061</v>
      </c>
      <c r="AJ26" s="321">
        <f t="shared" si="7"/>
        <v>109129.00100480622</v>
      </c>
      <c r="AK26" s="321">
        <f t="shared" si="7"/>
        <v>109027.5274949351</v>
      </c>
      <c r="AL26" s="321">
        <f t="shared" si="7"/>
        <v>108928.86940321341</v>
      </c>
      <c r="AM26" s="321">
        <f t="shared" si="7"/>
        <v>108833.00757887488</v>
      </c>
      <c r="AN26" s="321">
        <f t="shared" si="7"/>
        <v>108739.92310767798</v>
      </c>
      <c r="AO26" s="321">
        <f t="shared" si="7"/>
        <v>108649.59730976584</v>
      </c>
      <c r="AP26" s="321">
        <f t="shared" si="7"/>
        <v>108562.01173754844</v>
      </c>
      <c r="AQ26" s="321">
        <f t="shared" si="7"/>
        <v>108477.14817360742</v>
      </c>
      <c r="AR26" s="321">
        <f t="shared" si="7"/>
        <v>108394.98862862278</v>
      </c>
      <c r="AS26" s="321">
        <f t="shared" si="7"/>
        <v>108315.51533932157</v>
      </c>
      <c r="AU26" s="41"/>
    </row>
    <row r="27" spans="1:47" s="43" customFormat="1" ht="14.45" customHeight="1" x14ac:dyDescent="0.3">
      <c r="A27" s="41"/>
      <c r="B27" s="300"/>
      <c r="C27" s="329"/>
      <c r="D27" s="329"/>
      <c r="E27" s="329"/>
      <c r="F27" s="329"/>
      <c r="G27" s="329"/>
      <c r="H27" s="317"/>
      <c r="I27" s="330"/>
      <c r="J27" s="302"/>
      <c r="K27" s="302"/>
      <c r="L27" s="302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U27" s="41"/>
    </row>
    <row r="28" spans="1:47" s="43" customFormat="1" ht="15.75" customHeight="1" x14ac:dyDescent="0.3">
      <c r="A28" s="41"/>
      <c r="B28" s="300"/>
      <c r="C28" s="696" t="s">
        <v>385</v>
      </c>
      <c r="D28" s="696"/>
      <c r="E28" s="696"/>
      <c r="F28" s="696"/>
      <c r="G28" s="696"/>
      <c r="H28" s="317"/>
      <c r="I28" s="330"/>
      <c r="J28" s="302"/>
      <c r="K28" s="302"/>
      <c r="L28" s="302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U28" s="41"/>
    </row>
    <row r="29" spans="1:47" s="43" customFormat="1" ht="16.899999999999999" customHeight="1" x14ac:dyDescent="0.3">
      <c r="A29" s="41"/>
      <c r="B29" s="300">
        <f>B26+1</f>
        <v>9</v>
      </c>
      <c r="C29" s="598" t="s">
        <v>386</v>
      </c>
      <c r="D29" s="599"/>
      <c r="E29" s="599"/>
      <c r="F29" s="599"/>
      <c r="G29" s="600"/>
      <c r="I29" s="315" t="s">
        <v>359</v>
      </c>
      <c r="J29" s="302"/>
      <c r="K29" s="302"/>
      <c r="L29" s="302"/>
      <c r="M29" s="354">
        <v>222250</v>
      </c>
      <c r="N29" s="354">
        <v>218612</v>
      </c>
      <c r="O29" s="319">
        <f>'3.BilantPRO'!I46*1000</f>
        <v>215503.85528081883</v>
      </c>
      <c r="P29" s="319">
        <f>'3.BilantPRO'!J46*1000</f>
        <v>212293.33214423928</v>
      </c>
      <c r="Q29" s="319">
        <f>'3.BilantPRO'!K46*1000</f>
        <v>209174.00551977311</v>
      </c>
      <c r="R29" s="319">
        <f>'3.BilantPRO'!L46*1000</f>
        <v>200350.01752744828</v>
      </c>
      <c r="S29" s="319">
        <f>'3.BilantPRO'!M46*1000</f>
        <v>187358.14031232917</v>
      </c>
      <c r="T29" s="319">
        <f>'3.BilantPRO'!N46*1000</f>
        <v>173870.31735378384</v>
      </c>
      <c r="U29" s="319">
        <f>'3.BilantPRO'!O46*1000</f>
        <v>172453.20106265473</v>
      </c>
      <c r="V29" s="319">
        <f>'3.BilantPRO'!P46*1000</f>
        <v>171059.90084161813</v>
      </c>
      <c r="W29" s="319">
        <f>'3.BilantPRO'!Q46*1000</f>
        <v>169689.98960950563</v>
      </c>
      <c r="X29" s="319">
        <f>'3.BilantPRO'!R46*1000</f>
        <v>168343.04805999729</v>
      </c>
      <c r="Y29" s="319">
        <f>'3.BilantPRO'!S46*1000</f>
        <v>167451.74378934799</v>
      </c>
      <c r="Z29" s="319">
        <f>'3.BilantPRO'!T46*1000</f>
        <v>166575.01446023479</v>
      </c>
      <c r="AA29" s="319">
        <f>'3.BilantPRO'!U46*1000</f>
        <v>165712.59587923519</v>
      </c>
      <c r="AB29" s="319">
        <f>'3.BilantPRO'!V46*1000</f>
        <v>164864.22875380176</v>
      </c>
      <c r="AC29" s="319">
        <f>'3.BilantPRO'!W46*1000</f>
        <v>164029.65860091211</v>
      </c>
      <c r="AD29" s="319">
        <f>'3.BilantPRO'!X46*1000</f>
        <v>163208.63565742312</v>
      </c>
      <c r="AE29" s="319">
        <f>'3.BilantPRO'!Y46*1000</f>
        <v>162400.91479209773</v>
      </c>
      <c r="AF29" s="319">
        <f>'3.BilantPRO'!Z46*1000</f>
        <v>161606.25541927316</v>
      </c>
      <c r="AG29" s="319">
        <f>'3.BilantPRO'!AA46*1000</f>
        <v>160824.42141413977</v>
      </c>
      <c r="AH29" s="319">
        <f>'3.BilantPRO'!AB46*1000</f>
        <v>160055.18102960091</v>
      </c>
      <c r="AI29" s="319">
        <f>'3.BilantPRO'!AC46*1000</f>
        <v>159298.30681468354</v>
      </c>
      <c r="AJ29" s="319">
        <f>'3.BilantPRO'!AD46*1000</f>
        <v>159145.45549242295</v>
      </c>
      <c r="AK29" s="319">
        <f>'3.BilantPRO'!AE46*1000</f>
        <v>158996.758240528</v>
      </c>
      <c r="AL29" s="319">
        <f>'3.BilantPRO'!AF46*1000</f>
        <v>158852.18664608087</v>
      </c>
      <c r="AM29" s="319">
        <f>'3.BilantPRO'!AG46*1000</f>
        <v>158711.71264593166</v>
      </c>
      <c r="AN29" s="319">
        <f>'3.BilantPRO'!AH46*1000</f>
        <v>158575.30852352918</v>
      </c>
      <c r="AO29" s="319">
        <f>'3.BilantPRO'!AI46*1000</f>
        <v>158442.94690578466</v>
      </c>
      <c r="AP29" s="319">
        <f>'3.BilantPRO'!AJ46*1000</f>
        <v>158314.60075996871</v>
      </c>
      <c r="AQ29" s="319">
        <f>'3.BilantPRO'!AK46*1000</f>
        <v>158190.24339064083</v>
      </c>
      <c r="AR29" s="319">
        <f>'3.BilantPRO'!AL46*1000</f>
        <v>158069.84843661127</v>
      </c>
      <c r="AS29" s="319">
        <f>'3.BilantPRO'!AM46*1000</f>
        <v>157953.38986793501</v>
      </c>
      <c r="AU29" s="41"/>
    </row>
    <row r="30" spans="1:47" s="43" customFormat="1" ht="19.899999999999999" customHeight="1" x14ac:dyDescent="0.3">
      <c r="A30" s="41"/>
      <c r="B30" s="332">
        <f>B29+1</f>
        <v>10</v>
      </c>
      <c r="C30" s="602" t="s">
        <v>387</v>
      </c>
      <c r="D30" s="603"/>
      <c r="E30" s="603"/>
      <c r="F30" s="603"/>
      <c r="G30" s="604"/>
      <c r="H30" s="317"/>
      <c r="I30" s="315" t="s">
        <v>359</v>
      </c>
      <c r="J30" s="302"/>
      <c r="K30" s="302"/>
      <c r="L30" s="302"/>
      <c r="M30" s="354">
        <v>20480</v>
      </c>
      <c r="N30" s="354">
        <v>21205.91</v>
      </c>
      <c r="O30" s="319">
        <f>'3.BilantPRO'!I48*1000</f>
        <v>20904.412199412971</v>
      </c>
      <c r="P30" s="319">
        <f>'3.BilantPRO'!J48*1000</f>
        <v>20592.983436640461</v>
      </c>
      <c r="Q30" s="319">
        <f>'3.BilantPRO'!K48*1000</f>
        <v>20290.400963313135</v>
      </c>
      <c r="R30" s="319">
        <f>'3.BilantPRO'!L48*1000</f>
        <v>19434.452089480405</v>
      </c>
      <c r="S30" s="319">
        <f>'3.BilantPRO'!M48*1000</f>
        <v>18174.207551418149</v>
      </c>
      <c r="T30" s="319">
        <f>'3.BilantPRO'!N48*1000</f>
        <v>16865.85503758155</v>
      </c>
      <c r="U30" s="319">
        <f>'3.BilantPRO'!O48*1000</f>
        <v>16728.39121798694</v>
      </c>
      <c r="V30" s="319">
        <f>'3.BilantPRO'!P48*1000</f>
        <v>16593.237616673738</v>
      </c>
      <c r="W30" s="319">
        <f>'3.BilantPRO'!Q48*1000</f>
        <v>16460.352805701936</v>
      </c>
      <c r="X30" s="319">
        <f>'3.BilantPRO'!R48*1000</f>
        <v>16329.696111311265</v>
      </c>
      <c r="Y30" s="319">
        <f>'3.BilantPRO'!S48*1000</f>
        <v>16243.237370958472</v>
      </c>
      <c r="Z30" s="319">
        <f>'3.BilantPRO'!T48*1000</f>
        <v>16158.192436336698</v>
      </c>
      <c r="AA30" s="319">
        <f>'3.BilantPRO'!U48*1000</f>
        <v>16074.535680024117</v>
      </c>
      <c r="AB30" s="319">
        <f>'3.BilantPRO'!V48*1000</f>
        <v>15992.241949996032</v>
      </c>
      <c r="AC30" s="319">
        <f>'3.BilantPRO'!W48*1000</f>
        <v>15911.286560763674</v>
      </c>
      <c r="AD30" s="319">
        <f>'3.BilantPRO'!X48*1000</f>
        <v>15831.64528467836</v>
      </c>
      <c r="AE30" s="319">
        <f>'3.BilantPRO'!Y48*1000</f>
        <v>15753.294343397863</v>
      </c>
      <c r="AF30" s="319">
        <f>'3.BilantPRO'!Z48*1000</f>
        <v>15676.210399512012</v>
      </c>
      <c r="AG30" s="319">
        <f>'3.BilantPRO'!AA48*1000</f>
        <v>15600.37054832453</v>
      </c>
      <c r="AH30" s="319">
        <f>'3.BilantPRO'!AB48*1000</f>
        <v>15525.752309788235</v>
      </c>
      <c r="AI30" s="319">
        <f>'3.BilantPRO'!AC48*1000</f>
        <v>15452.333620590669</v>
      </c>
      <c r="AJ30" s="319">
        <f>'3.BilantPRO'!AD48*1000</f>
        <v>15437.506660573654</v>
      </c>
      <c r="AK30" s="319">
        <f>'3.BilantPRO'!AE48*1000</f>
        <v>15423.082655757215</v>
      </c>
      <c r="AL30" s="319">
        <f>'3.BilantPRO'!AF48*1000</f>
        <v>15409.058850017353</v>
      </c>
      <c r="AM30" s="319">
        <f>'3.BilantPRO'!AG48*1000</f>
        <v>15395.432521158442</v>
      </c>
      <c r="AN30" s="319">
        <f>'3.BilantPRO'!AH48*1000</f>
        <v>15382.20098060579</v>
      </c>
      <c r="AO30" s="319">
        <f>'3.BilantPRO'!AI48*1000</f>
        <v>15369.361573101422</v>
      </c>
      <c r="AP30" s="319">
        <f>'3.BilantPRO'!AJ48*1000</f>
        <v>15356.911676403075</v>
      </c>
      <c r="AQ30" s="319">
        <f>'3.BilantPRO'!AK48*1000</f>
        <v>15344.848700986335</v>
      </c>
      <c r="AR30" s="319">
        <f>'3.BilantPRO'!AL48*1000</f>
        <v>15333.170089749967</v>
      </c>
      <c r="AS30" s="319">
        <f>'3.BilantPRO'!AM48*1000</f>
        <v>15321.873317724292</v>
      </c>
      <c r="AU30" s="41"/>
    </row>
    <row r="31" spans="1:47" s="43" customFormat="1" ht="19.899999999999999" customHeight="1" x14ac:dyDescent="0.3">
      <c r="A31" s="41"/>
      <c r="B31" s="332">
        <f>B30+1</f>
        <v>11</v>
      </c>
      <c r="C31" s="608" t="s">
        <v>388</v>
      </c>
      <c r="D31" s="608"/>
      <c r="E31" s="608"/>
      <c r="F31" s="608"/>
      <c r="G31" s="608"/>
      <c r="I31" s="315" t="s">
        <v>359</v>
      </c>
      <c r="J31" s="302"/>
      <c r="K31" s="302"/>
      <c r="L31" s="302"/>
      <c r="M31" s="319">
        <f>M29-M30</f>
        <v>201770</v>
      </c>
      <c r="N31" s="319">
        <f t="shared" ref="N31:AH31" si="8">N29-N30</f>
        <v>197406.09</v>
      </c>
      <c r="O31" s="319">
        <f t="shared" si="8"/>
        <v>194599.44308140586</v>
      </c>
      <c r="P31" s="319">
        <f t="shared" si="8"/>
        <v>191700.34870759881</v>
      </c>
      <c r="Q31" s="319">
        <f t="shared" si="8"/>
        <v>188883.60455645999</v>
      </c>
      <c r="R31" s="319">
        <f t="shared" si="8"/>
        <v>180915.56543796786</v>
      </c>
      <c r="S31" s="319">
        <f t="shared" si="8"/>
        <v>169183.932760911</v>
      </c>
      <c r="T31" s="319">
        <f t="shared" si="8"/>
        <v>157004.46231620229</v>
      </c>
      <c r="U31" s="319">
        <f t="shared" si="8"/>
        <v>155724.80984466779</v>
      </c>
      <c r="V31" s="319">
        <f t="shared" si="8"/>
        <v>154466.66322494438</v>
      </c>
      <c r="W31" s="319">
        <f t="shared" si="8"/>
        <v>153229.6368038037</v>
      </c>
      <c r="X31" s="319">
        <f t="shared" si="8"/>
        <v>152013.35194868603</v>
      </c>
      <c r="Y31" s="319">
        <f t="shared" si="8"/>
        <v>151208.50641838953</v>
      </c>
      <c r="Z31" s="319">
        <f t="shared" si="8"/>
        <v>150416.8220238981</v>
      </c>
      <c r="AA31" s="319">
        <f t="shared" si="8"/>
        <v>149638.06019921106</v>
      </c>
      <c r="AB31" s="319">
        <f t="shared" si="8"/>
        <v>148871.98680380572</v>
      </c>
      <c r="AC31" s="319">
        <f t="shared" si="8"/>
        <v>148118.37204014845</v>
      </c>
      <c r="AD31" s="319">
        <f t="shared" si="8"/>
        <v>147376.99037274477</v>
      </c>
      <c r="AE31" s="319">
        <f t="shared" si="8"/>
        <v>146647.62044869986</v>
      </c>
      <c r="AF31" s="319">
        <f t="shared" si="8"/>
        <v>145930.04501976114</v>
      </c>
      <c r="AG31" s="319">
        <f t="shared" si="8"/>
        <v>145224.05086581522</v>
      </c>
      <c r="AH31" s="319">
        <f t="shared" si="8"/>
        <v>144529.42871981268</v>
      </c>
      <c r="AI31" s="319">
        <f t="shared" ref="AI31:AS31" si="9">AI29-AI30</f>
        <v>143845.97319409286</v>
      </c>
      <c r="AJ31" s="319">
        <f t="shared" si="9"/>
        <v>143707.94883184929</v>
      </c>
      <c r="AK31" s="319">
        <f t="shared" si="9"/>
        <v>143573.6755847708</v>
      </c>
      <c r="AL31" s="319">
        <f t="shared" si="9"/>
        <v>143443.12779606352</v>
      </c>
      <c r="AM31" s="319">
        <f t="shared" si="9"/>
        <v>143316.28012477321</v>
      </c>
      <c r="AN31" s="319">
        <f t="shared" si="9"/>
        <v>143193.10754292339</v>
      </c>
      <c r="AO31" s="319">
        <f t="shared" si="9"/>
        <v>143073.58533268323</v>
      </c>
      <c r="AP31" s="319">
        <f t="shared" si="9"/>
        <v>142957.68908356564</v>
      </c>
      <c r="AQ31" s="319">
        <f t="shared" si="9"/>
        <v>142845.39468965449</v>
      </c>
      <c r="AR31" s="319">
        <f t="shared" si="9"/>
        <v>142736.6783468613</v>
      </c>
      <c r="AS31" s="319">
        <f t="shared" si="9"/>
        <v>142631.51655021071</v>
      </c>
      <c r="AU31" s="41"/>
    </row>
    <row r="32" spans="1:47" s="43" customFormat="1" ht="9.75" customHeight="1" x14ac:dyDescent="0.3">
      <c r="A32" s="41"/>
      <c r="B32" s="300"/>
      <c r="C32" s="329"/>
      <c r="D32" s="329"/>
      <c r="E32" s="329"/>
      <c r="F32" s="329"/>
      <c r="G32" s="329"/>
      <c r="H32" s="317"/>
      <c r="I32" s="330"/>
      <c r="J32" s="302"/>
      <c r="K32" s="302"/>
      <c r="L32" s="302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U32" s="41"/>
    </row>
    <row r="33" spans="1:47" s="43" customForma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x14ac:dyDescent="0.3">
      <c r="A34" s="41"/>
      <c r="B34" s="41"/>
      <c r="C34" s="692" t="s">
        <v>389</v>
      </c>
      <c r="D34" s="692"/>
      <c r="E34" s="692"/>
      <c r="F34" s="692"/>
      <c r="G34" s="692"/>
      <c r="H34" s="692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6.899999999999999" customHeight="1" x14ac:dyDescent="0.3">
      <c r="A36" s="41"/>
      <c r="C36" s="614"/>
      <c r="D36" s="614"/>
      <c r="E36" s="614"/>
      <c r="F36" s="614"/>
      <c r="G36" s="614"/>
      <c r="H36" s="43"/>
      <c r="I36" s="43"/>
      <c r="J36" s="43"/>
      <c r="K36" s="43"/>
      <c r="L36" s="43"/>
      <c r="M36" s="43"/>
      <c r="N36" s="43"/>
      <c r="O36" s="43"/>
      <c r="P36" s="333">
        <v>0.02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U36" s="41"/>
    </row>
    <row r="37" spans="1:47" ht="16.899999999999999" customHeight="1" x14ac:dyDescent="0.3">
      <c r="A37" s="41"/>
      <c r="B37" s="296">
        <f>B31+1</f>
        <v>12</v>
      </c>
      <c r="C37" s="598" t="s">
        <v>390</v>
      </c>
      <c r="D37" s="599"/>
      <c r="E37" s="599"/>
      <c r="F37" s="599"/>
      <c r="G37" s="600"/>
      <c r="H37" s="43"/>
      <c r="I37" s="315" t="s">
        <v>391</v>
      </c>
      <c r="J37" s="43"/>
      <c r="K37" s="43"/>
      <c r="L37" s="43"/>
      <c r="M37" s="319">
        <f>'1.Input'!M52*12</f>
        <v>35808.739980817183</v>
      </c>
      <c r="N37" s="319">
        <f>'1.Input'!N52*12</f>
        <v>43143.672477962784</v>
      </c>
      <c r="O37" s="319">
        <f>'1.Input'!O52*12</f>
        <v>44006.545927522035</v>
      </c>
      <c r="P37" s="319">
        <f>'1.Input'!P52*12</f>
        <v>45502.768489057795</v>
      </c>
      <c r="Q37" s="319">
        <f>'1.Input'!Q52*12</f>
        <v>47413.884765598217</v>
      </c>
      <c r="R37" s="319">
        <f>'1.Input'!R52*12</f>
        <v>49594.923464815744</v>
      </c>
      <c r="S37" s="319">
        <f>'1.Input'!S52*12</f>
        <v>51628.315326873184</v>
      </c>
      <c r="T37" s="319">
        <f>'1.Input'!T52*12</f>
        <v>53435.30636331375</v>
      </c>
      <c r="U37" s="319">
        <f>'1.Input'!U52*12</f>
        <v>55038.36555421316</v>
      </c>
      <c r="V37" s="319">
        <f>'1.Input'!V52*12</f>
        <v>56689.516520839563</v>
      </c>
      <c r="W37" s="319">
        <f>'1.Input'!W52*12</f>
        <v>58390.202016464747</v>
      </c>
      <c r="X37" s="319">
        <f>'1.Input'!X52*12</f>
        <v>60141.908076958694</v>
      </c>
      <c r="Y37" s="319">
        <f>'1.Input'!Y52*12</f>
        <v>61946.165319267457</v>
      </c>
      <c r="Z37" s="319">
        <f>'1.Input'!Z52*12</f>
        <v>63804.550278845491</v>
      </c>
      <c r="AA37" s="319">
        <f>'1.Input'!AA52*12</f>
        <v>65718.686787210856</v>
      </c>
      <c r="AB37" s="319">
        <f>'1.Input'!AB52*12</f>
        <v>67690.247390827179</v>
      </c>
      <c r="AC37" s="319">
        <f>'1.Input'!AC52*12</f>
        <v>69720.954812551994</v>
      </c>
      <c r="AD37" s="319">
        <f>'1.Input'!AD52*12</f>
        <v>71812.583456928551</v>
      </c>
      <c r="AE37" s="319">
        <f>'1.Input'!AE52*12</f>
        <v>73966.96096063641</v>
      </c>
      <c r="AF37" s="319">
        <f>'1.Input'!AF52*12</f>
        <v>76185.969789455514</v>
      </c>
      <c r="AG37" s="319">
        <f>'1.Input'!AG52*12</f>
        <v>78471.548883139185</v>
      </c>
      <c r="AH37" s="319">
        <f>'1.Input'!AH52*12</f>
        <v>80825.695349633359</v>
      </c>
      <c r="AI37" s="319">
        <f>'1.Input'!AI52*12</f>
        <v>83250.466210122366</v>
      </c>
      <c r="AJ37" s="319">
        <f>'1.Input'!AJ52*12</f>
        <v>85747.98019642604</v>
      </c>
      <c r="AK37" s="319">
        <f>'1.Input'!AK52*12</f>
        <v>88320.419602318827</v>
      </c>
      <c r="AL37" s="319">
        <f>'1.Input'!AL52*12</f>
        <v>90970.032190388389</v>
      </c>
      <c r="AM37" s="319">
        <f>'1.Input'!AM52*12</f>
        <v>93699.133156100041</v>
      </c>
      <c r="AN37" s="319">
        <f>'1.Input'!AN52*12</f>
        <v>96510.107150783049</v>
      </c>
      <c r="AO37" s="319">
        <f>'1.Input'!AO52*12</f>
        <v>99405.410365306539</v>
      </c>
      <c r="AP37" s="319">
        <f>'1.Input'!AP52*12</f>
        <v>102387.57267626573</v>
      </c>
      <c r="AQ37" s="319">
        <f>'1.Input'!AQ52*12</f>
        <v>105459.19985655369</v>
      </c>
      <c r="AR37" s="319">
        <f>'1.Input'!AR52*12</f>
        <v>108622.9758522503</v>
      </c>
      <c r="AS37" s="319">
        <f>'1.Input'!AS52*12</f>
        <v>111881.6651278178</v>
      </c>
      <c r="AU37" s="41"/>
    </row>
    <row r="38" spans="1:47" ht="29.25" customHeight="1" x14ac:dyDescent="0.3">
      <c r="A38" s="41"/>
      <c r="B38" s="300">
        <f>B37+1</f>
        <v>13</v>
      </c>
      <c r="C38" s="598" t="s">
        <v>392</v>
      </c>
      <c r="D38" s="599"/>
      <c r="E38" s="599"/>
      <c r="F38" s="599"/>
      <c r="G38" s="600"/>
      <c r="H38" s="43"/>
      <c r="I38" s="315" t="s">
        <v>15</v>
      </c>
      <c r="J38" s="43"/>
      <c r="K38" s="43"/>
      <c r="L38" s="43"/>
      <c r="M38" s="334">
        <f>M39/M37</f>
        <v>3.242192540454901E-2</v>
      </c>
      <c r="N38" s="334">
        <f t="shared" ref="N38:O38" si="10">N39/N37</f>
        <v>2.6674355306273399E-2</v>
      </c>
      <c r="O38" s="334">
        <f t="shared" si="10"/>
        <v>2.3128637948629426E-2</v>
      </c>
      <c r="P38" s="335">
        <f>O38</f>
        <v>2.3128637948629426E-2</v>
      </c>
      <c r="Q38" s="335">
        <f>P38</f>
        <v>2.3128637948629426E-2</v>
      </c>
      <c r="R38" s="335">
        <f>Q38</f>
        <v>2.3128637948629426E-2</v>
      </c>
      <c r="S38" s="335">
        <f t="shared" ref="S38:AI38" si="11">IF(R38*(1+rca)&lt;=lim,R38*(1+rca),R38)</f>
        <v>2.3591210707602013E-2</v>
      </c>
      <c r="T38" s="335">
        <f t="shared" si="11"/>
        <v>2.4063034921754052E-2</v>
      </c>
      <c r="U38" s="335">
        <f t="shared" si="11"/>
        <v>2.4544295620189133E-2</v>
      </c>
      <c r="V38" s="335">
        <f t="shared" si="11"/>
        <v>2.5035181532592918E-2</v>
      </c>
      <c r="W38" s="335">
        <f t="shared" si="11"/>
        <v>2.5535885163244777E-2</v>
      </c>
      <c r="X38" s="335">
        <f t="shared" si="11"/>
        <v>2.6046602866509672E-2</v>
      </c>
      <c r="Y38" s="335">
        <f t="shared" si="11"/>
        <v>2.6567534923839866E-2</v>
      </c>
      <c r="Z38" s="335">
        <f t="shared" si="11"/>
        <v>2.7098885622316663E-2</v>
      </c>
      <c r="AA38" s="335">
        <f t="shared" si="11"/>
        <v>2.7640863334762997E-2</v>
      </c>
      <c r="AB38" s="335">
        <f t="shared" si="11"/>
        <v>2.8193680601458257E-2</v>
      </c>
      <c r="AC38" s="335">
        <f t="shared" si="11"/>
        <v>2.8757554213487423E-2</v>
      </c>
      <c r="AD38" s="335">
        <f t="shared" si="11"/>
        <v>2.9332705297757174E-2</v>
      </c>
      <c r="AE38" s="335">
        <f t="shared" si="11"/>
        <v>2.9919359403712317E-2</v>
      </c>
      <c r="AF38" s="335">
        <f t="shared" si="11"/>
        <v>3.0517746591786563E-2</v>
      </c>
      <c r="AG38" s="335">
        <f t="shared" si="11"/>
        <v>3.1128101523622293E-2</v>
      </c>
      <c r="AH38" s="335">
        <f t="shared" si="11"/>
        <v>3.1750663554094741E-2</v>
      </c>
      <c r="AI38" s="335">
        <f t="shared" si="11"/>
        <v>3.2385676825176637E-2</v>
      </c>
      <c r="AJ38" s="335">
        <f t="shared" ref="AJ38" si="12">IF(AI38*(1+rca)&lt;=lim,AI38*(1+rca),AI38)</f>
        <v>3.3033390361680168E-2</v>
      </c>
      <c r="AK38" s="335">
        <f t="shared" ref="AK38" si="13">IF(AJ38*(1+rca)&lt;=lim,AJ38*(1+rca),AJ38)</f>
        <v>3.3694058168913771E-2</v>
      </c>
      <c r="AL38" s="335">
        <f t="shared" ref="AL38" si="14">IF(AK38*(1+rca)&lt;=lim,AK38*(1+rca),AK38)</f>
        <v>3.4367939332292048E-2</v>
      </c>
      <c r="AM38" s="335">
        <f t="shared" ref="AM38" si="15">IF(AL38*(1+rca)&lt;=lim,AL38*(1+rca),AL38)</f>
        <v>3.5055298118937893E-2</v>
      </c>
      <c r="AN38" s="335">
        <f t="shared" ref="AN38" si="16">IF(AM38*(1+rca)&lt;=lim,AM38*(1+rca),AM38)</f>
        <v>3.5756404081316653E-2</v>
      </c>
      <c r="AO38" s="335">
        <f t="shared" ref="AO38" si="17">IF(AN38*(1+rca)&lt;=lim,AN38*(1+rca),AN38)</f>
        <v>3.6471532162942986E-2</v>
      </c>
      <c r="AP38" s="335">
        <f t="shared" ref="AP38" si="18">IF(AO38*(1+rca)&lt;=lim,AO38*(1+rca),AO38)</f>
        <v>3.7200962806201845E-2</v>
      </c>
      <c r="AQ38" s="335">
        <f t="shared" ref="AQ38" si="19">IF(AP38*(1+rca)&lt;=lim,AP38*(1+rca),AP38)</f>
        <v>3.7944982062325883E-2</v>
      </c>
      <c r="AR38" s="335">
        <f t="shared" ref="AR38" si="20">IF(AQ38*(1+rca)&lt;=lim,AQ38*(1+rca),AQ38)</f>
        <v>3.8703881703572404E-2</v>
      </c>
      <c r="AS38" s="335">
        <f t="shared" ref="AS38" si="21">IF(AR38*(1+rca)&lt;=lim,AR38*(1+rca),AR38)</f>
        <v>3.947795933764385E-2</v>
      </c>
      <c r="AU38" s="41"/>
    </row>
    <row r="39" spans="1:47" ht="15.75" customHeight="1" x14ac:dyDescent="0.3">
      <c r="A39" s="41"/>
      <c r="B39" s="300">
        <f>B38+1</f>
        <v>14</v>
      </c>
      <c r="C39" s="598" t="s">
        <v>393</v>
      </c>
      <c r="D39" s="599"/>
      <c r="E39" s="599"/>
      <c r="F39" s="599"/>
      <c r="G39" s="600"/>
      <c r="H39" s="43"/>
      <c r="I39" s="315" t="s">
        <v>391</v>
      </c>
      <c r="J39" s="43"/>
      <c r="K39" s="336"/>
      <c r="L39" s="43"/>
      <c r="M39" s="319">
        <f>M40*(1+tvat)</f>
        <v>1160.9882964889464</v>
      </c>
      <c r="N39" s="319">
        <f>N40*(1+tvat)</f>
        <v>1150.8296488946683</v>
      </c>
      <c r="O39" s="319">
        <f>O40*(1+tvat)</f>
        <v>1017.8114681273898</v>
      </c>
      <c r="P39" s="316">
        <f>P37*P38</f>
        <v>1052.4170580437212</v>
      </c>
      <c r="Q39" s="316">
        <f t="shared" ref="Q39:AH39" si="22">Q37*Q38</f>
        <v>1096.6185744815575</v>
      </c>
      <c r="R39" s="316">
        <f t="shared" si="22"/>
        <v>1147.0630289077094</v>
      </c>
      <c r="S39" s="316">
        <f t="shared" si="22"/>
        <v>1217.9744653547839</v>
      </c>
      <c r="T39" s="316">
        <f t="shared" si="22"/>
        <v>1285.8156430750453</v>
      </c>
      <c r="U39" s="316">
        <f t="shared" si="22"/>
        <v>1350.8779146146426</v>
      </c>
      <c r="V39" s="316">
        <f t="shared" si="22"/>
        <v>1419.2323370941438</v>
      </c>
      <c r="W39" s="316">
        <f t="shared" si="22"/>
        <v>1491.0454933511073</v>
      </c>
      <c r="X39" s="316">
        <f t="shared" si="22"/>
        <v>1566.4923953146736</v>
      </c>
      <c r="Y39" s="316">
        <f t="shared" si="22"/>
        <v>1645.756910517596</v>
      </c>
      <c r="Z39" s="316">
        <f t="shared" si="22"/>
        <v>1729.0322101897866</v>
      </c>
      <c r="AA39" s="316">
        <f t="shared" si="22"/>
        <v>1816.5212400253899</v>
      </c>
      <c r="AB39" s="316">
        <f t="shared" si="22"/>
        <v>1908.4372147706747</v>
      </c>
      <c r="AC39" s="316">
        <f t="shared" si="22"/>
        <v>2005.0041378380708</v>
      </c>
      <c r="AD39" s="316">
        <f t="shared" si="22"/>
        <v>2106.4573472126772</v>
      </c>
      <c r="AE39" s="316">
        <f t="shared" si="22"/>
        <v>2213.0440889816387</v>
      </c>
      <c r="AF39" s="316">
        <f t="shared" si="22"/>
        <v>2325.02411988411</v>
      </c>
      <c r="AG39" s="316">
        <f t="shared" si="22"/>
        <v>2442.6703403502461</v>
      </c>
      <c r="AH39" s="316">
        <f t="shared" si="22"/>
        <v>2566.2694595719686</v>
      </c>
      <c r="AI39" s="316">
        <f t="shared" ref="AI39:AS39" si="23">AI37*AI38</f>
        <v>2696.1226942263106</v>
      </c>
      <c r="AJ39" s="316">
        <f t="shared" si="23"/>
        <v>2832.5465025541621</v>
      </c>
      <c r="AK39" s="316">
        <f t="shared" si="23"/>
        <v>2975.8733555834028</v>
      </c>
      <c r="AL39" s="316">
        <f t="shared" si="23"/>
        <v>3126.4525473759227</v>
      </c>
      <c r="AM39" s="316">
        <f t="shared" si="23"/>
        <v>3284.6510462731449</v>
      </c>
      <c r="AN39" s="316">
        <f t="shared" si="23"/>
        <v>3450.8543892145667</v>
      </c>
      <c r="AO39" s="316">
        <f t="shared" si="23"/>
        <v>3625.4676213088237</v>
      </c>
      <c r="AP39" s="316">
        <f t="shared" si="23"/>
        <v>3808.9162829470497</v>
      </c>
      <c r="AQ39" s="316">
        <f t="shared" si="23"/>
        <v>4001.64744686417</v>
      </c>
      <c r="AR39" s="316">
        <f t="shared" si="23"/>
        <v>4204.1308076754976</v>
      </c>
      <c r="AS39" s="316">
        <f t="shared" si="23"/>
        <v>4416.8598265438768</v>
      </c>
      <c r="AU39" s="41"/>
    </row>
    <row r="40" spans="1:47" ht="20.25" customHeight="1" x14ac:dyDescent="0.3">
      <c r="A40" s="41"/>
      <c r="B40" s="300">
        <f t="shared" ref="B40:B41" si="24">B39+1</f>
        <v>15</v>
      </c>
      <c r="C40" s="598" t="s">
        <v>394</v>
      </c>
      <c r="D40" s="599"/>
      <c r="E40" s="599"/>
      <c r="F40" s="599"/>
      <c r="G40" s="600"/>
      <c r="H40" s="43"/>
      <c r="I40" s="315" t="s">
        <v>391</v>
      </c>
      <c r="J40" s="43"/>
      <c r="K40" s="43"/>
      <c r="L40" s="43"/>
      <c r="M40" s="319">
        <f>M41*M15</f>
        <v>1105.7031395132822</v>
      </c>
      <c r="N40" s="319">
        <f t="shared" ref="N40:O40" si="25">N41*N15</f>
        <v>1096.0282370425412</v>
      </c>
      <c r="O40" s="319">
        <f t="shared" si="25"/>
        <v>969.34425535941887</v>
      </c>
      <c r="P40" s="316">
        <f t="shared" ref="P40:AH40" si="26">P39/(1+tvat)</f>
        <v>1002.3019600416392</v>
      </c>
      <c r="Q40" s="316">
        <f t="shared" si="26"/>
        <v>1044.398642363388</v>
      </c>
      <c r="R40" s="316">
        <f t="shared" si="26"/>
        <v>1092.4409799121042</v>
      </c>
      <c r="S40" s="316">
        <f t="shared" si="26"/>
        <v>1159.9756812902704</v>
      </c>
      <c r="T40" s="316">
        <f t="shared" si="26"/>
        <v>1224.5863267381383</v>
      </c>
      <c r="U40" s="316">
        <f t="shared" si="26"/>
        <v>1286.5503948710882</v>
      </c>
      <c r="V40" s="316">
        <f t="shared" si="26"/>
        <v>1351.6498448515654</v>
      </c>
      <c r="W40" s="316">
        <f t="shared" si="26"/>
        <v>1420.0433270010544</v>
      </c>
      <c r="X40" s="316">
        <f t="shared" si="26"/>
        <v>1491.8975193473082</v>
      </c>
      <c r="Y40" s="316">
        <f t="shared" si="26"/>
        <v>1567.3875338262819</v>
      </c>
      <c r="Z40" s="316">
        <f t="shared" si="26"/>
        <v>1646.6973430378919</v>
      </c>
      <c r="AA40" s="316">
        <f t="shared" si="26"/>
        <v>1730.0202285956093</v>
      </c>
      <c r="AB40" s="316">
        <f t="shared" si="26"/>
        <v>1817.5592521625472</v>
      </c>
      <c r="AC40" s="316">
        <f t="shared" si="26"/>
        <v>1909.5277503219722</v>
      </c>
      <c r="AD40" s="316">
        <f t="shared" si="26"/>
        <v>2006.1498544882638</v>
      </c>
      <c r="AE40" s="316">
        <f t="shared" si="26"/>
        <v>2107.6610371253701</v>
      </c>
      <c r="AF40" s="316">
        <f t="shared" si="26"/>
        <v>2214.308685603914</v>
      </c>
      <c r="AG40" s="316">
        <f t="shared" si="26"/>
        <v>2326.3527050954722</v>
      </c>
      <c r="AH40" s="316">
        <f t="shared" si="26"/>
        <v>2444.0661519733035</v>
      </c>
      <c r="AI40" s="316">
        <f t="shared" ref="AI40:AS40" si="27">AI39/(1+tvat)</f>
        <v>2567.735899263153</v>
      </c>
      <c r="AJ40" s="316">
        <f t="shared" si="27"/>
        <v>2697.6633357658684</v>
      </c>
      <c r="AK40" s="316">
        <f t="shared" si="27"/>
        <v>2834.1651005556214</v>
      </c>
      <c r="AL40" s="316">
        <f t="shared" si="27"/>
        <v>2977.5738546437356</v>
      </c>
      <c r="AM40" s="316">
        <f t="shared" si="27"/>
        <v>3128.2390916887093</v>
      </c>
      <c r="AN40" s="316">
        <f t="shared" si="27"/>
        <v>3286.5279897281584</v>
      </c>
      <c r="AO40" s="316">
        <f t="shared" si="27"/>
        <v>3452.8263060084032</v>
      </c>
      <c r="AP40" s="316">
        <f t="shared" si="27"/>
        <v>3627.5393170924281</v>
      </c>
      <c r="AQ40" s="316">
        <f t="shared" si="27"/>
        <v>3811.0928065373046</v>
      </c>
      <c r="AR40" s="316">
        <f t="shared" si="27"/>
        <v>4003.9341025480926</v>
      </c>
      <c r="AS40" s="316">
        <f t="shared" si="27"/>
        <v>4206.5331681370253</v>
      </c>
      <c r="AU40" s="41"/>
    </row>
    <row r="41" spans="1:47" s="320" customFormat="1" ht="20.45" customHeight="1" x14ac:dyDescent="0.3">
      <c r="A41" s="337"/>
      <c r="B41" s="338">
        <f t="shared" si="24"/>
        <v>16</v>
      </c>
      <c r="C41" s="679" t="s">
        <v>545</v>
      </c>
      <c r="D41" s="680"/>
      <c r="E41" s="680"/>
      <c r="F41" s="680"/>
      <c r="G41" s="681"/>
      <c r="H41" s="317"/>
      <c r="I41" s="313" t="s">
        <v>395</v>
      </c>
      <c r="J41" s="317"/>
      <c r="K41" s="317"/>
      <c r="L41" s="317"/>
      <c r="M41" s="339">
        <f>240/(1+tvat)</f>
        <v>228.57142857142856</v>
      </c>
      <c r="N41" s="339">
        <f>240/(1+tvat)</f>
        <v>228.57142857142856</v>
      </c>
      <c r="O41" s="339">
        <f>240/(1+tvat)</f>
        <v>228.57142857142856</v>
      </c>
      <c r="P41" s="340">
        <f t="shared" ref="P41:AH41" si="28">P40/P15</f>
        <v>238.42911187173485</v>
      </c>
      <c r="Q41" s="340">
        <f t="shared" si="28"/>
        <v>250.63620133200277</v>
      </c>
      <c r="R41" s="340">
        <f t="shared" si="28"/>
        <v>264.47966365021432</v>
      </c>
      <c r="S41" s="340">
        <f t="shared" si="28"/>
        <v>283.30874800208886</v>
      </c>
      <c r="T41" s="340">
        <f t="shared" si="28"/>
        <v>301.72917555188417</v>
      </c>
      <c r="U41" s="340">
        <f t="shared" si="28"/>
        <v>319.79487700863501</v>
      </c>
      <c r="V41" s="340">
        <f t="shared" si="28"/>
        <v>338.94224240632741</v>
      </c>
      <c r="W41" s="340">
        <f t="shared" si="28"/>
        <v>359.23603517991171</v>
      </c>
      <c r="X41" s="340">
        <f t="shared" si="28"/>
        <v>380.74489640354636</v>
      </c>
      <c r="Y41" s="340">
        <f t="shared" si="28"/>
        <v>403.54157695996548</v>
      </c>
      <c r="Z41" s="340">
        <f t="shared" si="28"/>
        <v>427.70318361073373</v>
      </c>
      <c r="AA41" s="340">
        <f t="shared" si="28"/>
        <v>453.31143979968408</v>
      </c>
      <c r="AB41" s="340">
        <f t="shared" si="28"/>
        <v>480.45296207167524</v>
      </c>
      <c r="AC41" s="340">
        <f t="shared" si="28"/>
        <v>509.21955304161622</v>
      </c>
      <c r="AD41" s="340">
        <f t="shared" si="28"/>
        <v>539.70851190468795</v>
      </c>
      <c r="AE41" s="340">
        <f t="shared" si="28"/>
        <v>572.02296353802285</v>
      </c>
      <c r="AF41" s="340">
        <f t="shared" si="28"/>
        <v>606.27220730698298</v>
      </c>
      <c r="AG41" s="340">
        <f t="shared" si="28"/>
        <v>642.57208675583001</v>
      </c>
      <c r="AH41" s="340">
        <f t="shared" si="28"/>
        <v>681.04538143321565</v>
      </c>
      <c r="AI41" s="340">
        <f t="shared" ref="AI41:AS41" si="29">AI40/AI15</f>
        <v>721.82222217779224</v>
      </c>
      <c r="AJ41" s="340">
        <f t="shared" si="29"/>
        <v>758.34642661998839</v>
      </c>
      <c r="AK41" s="340">
        <f t="shared" si="29"/>
        <v>796.71875580695996</v>
      </c>
      <c r="AL41" s="340">
        <f t="shared" si="29"/>
        <v>837.03272485079185</v>
      </c>
      <c r="AM41" s="340">
        <f t="shared" si="29"/>
        <v>879.38658072824228</v>
      </c>
      <c r="AN41" s="340">
        <f t="shared" si="29"/>
        <v>923.8835417130914</v>
      </c>
      <c r="AO41" s="340">
        <f t="shared" si="29"/>
        <v>970.63204892377371</v>
      </c>
      <c r="AP41" s="340">
        <f t="shared" si="29"/>
        <v>1019.7460305993166</v>
      </c>
      <c r="AQ41" s="340">
        <f t="shared" si="29"/>
        <v>1071.3451797476419</v>
      </c>
      <c r="AR41" s="340">
        <f t="shared" si="29"/>
        <v>1125.5552458428726</v>
      </c>
      <c r="AS41" s="340">
        <f t="shared" si="29"/>
        <v>1182.5083412825218</v>
      </c>
      <c r="AU41" s="337"/>
    </row>
    <row r="42" spans="1:47" x14ac:dyDescent="0.3">
      <c r="A42" s="41"/>
      <c r="B42" s="300"/>
      <c r="C42" s="306"/>
      <c r="D42" s="306"/>
      <c r="E42" s="306"/>
      <c r="F42" s="306"/>
      <c r="G42" s="306"/>
      <c r="H42" s="43"/>
      <c r="I42" s="302"/>
      <c r="J42" s="302"/>
      <c r="K42" s="302"/>
      <c r="L42" s="30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U42" s="41"/>
    </row>
    <row r="43" spans="1:47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1:47" x14ac:dyDescent="0.3">
      <c r="A44" s="41"/>
      <c r="B44" s="41"/>
      <c r="C44" s="692" t="s">
        <v>400</v>
      </c>
      <c r="D44" s="692"/>
      <c r="E44" s="692"/>
      <c r="F44" s="692"/>
      <c r="G44" s="692"/>
      <c r="H44" s="692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1:47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x14ac:dyDescent="0.3">
      <c r="A46" s="41"/>
      <c r="C46" s="341"/>
      <c r="D46" s="341"/>
      <c r="E46" s="341"/>
      <c r="F46" s="341"/>
      <c r="G46" s="341"/>
      <c r="H46" s="43"/>
      <c r="AU46" s="41"/>
    </row>
    <row r="47" spans="1:47" x14ac:dyDescent="0.3">
      <c r="A47" s="41"/>
      <c r="C47" s="614" t="s">
        <v>405</v>
      </c>
      <c r="D47" s="614"/>
      <c r="E47" s="614"/>
      <c r="F47" s="614"/>
      <c r="G47" s="614"/>
      <c r="H47" s="43"/>
      <c r="AU47" s="41"/>
    </row>
    <row r="48" spans="1:47" x14ac:dyDescent="0.3">
      <c r="A48" s="41"/>
      <c r="B48" s="296">
        <f>B41+1</f>
        <v>17</v>
      </c>
      <c r="C48" s="598" t="s">
        <v>673</v>
      </c>
      <c r="D48" s="599"/>
      <c r="E48" s="599"/>
      <c r="F48" s="599"/>
      <c r="G48" s="600"/>
      <c r="H48" s="43"/>
      <c r="I48" s="315" t="s">
        <v>395</v>
      </c>
      <c r="J48" s="43"/>
      <c r="K48" s="43"/>
      <c r="L48" s="43"/>
      <c r="M48" s="326">
        <f>('5.O&amp;M'!M73)*1000/'6.Venituri'!M23</f>
        <v>432.66170701159962</v>
      </c>
      <c r="N48" s="326">
        <f>('5.O&amp;M'!N73)*1000/'6.Venituri'!N23</f>
        <v>687.4038421296716</v>
      </c>
      <c r="O48" s="326">
        <f>('5.O&amp;M'!O73)*1000/'6.Venituri'!O23</f>
        <v>786.28133266163923</v>
      </c>
      <c r="P48" s="326">
        <f>('5.O&amp;M'!P73)*1000/'6.Venituri'!P23</f>
        <v>868.20405711823003</v>
      </c>
      <c r="Q48" s="326">
        <f>('5.O&amp;M'!Q73)*1000/'6.Venituri'!Q23</f>
        <v>826.69535101452595</v>
      </c>
      <c r="R48" s="326">
        <f>('5.O&amp;M'!R73)*1000/'6.Venituri'!R23</f>
        <v>825.90880084500316</v>
      </c>
      <c r="S48" s="326">
        <f>('5.O&amp;M'!S73)*1000/'6.Venituri'!S23</f>
        <v>800.91764761533261</v>
      </c>
      <c r="T48" s="326">
        <f>('5.O&amp;M'!T73)*1000/'6.Venituri'!T23</f>
        <v>772.2890307331827</v>
      </c>
      <c r="U48" s="326">
        <f>('5.O&amp;M'!U73)*1000/'6.Venituri'!U23</f>
        <v>773.85288287028698</v>
      </c>
      <c r="V48" s="326">
        <f>('5.O&amp;M'!V73)*1000/'6.Venituri'!V23</f>
        <v>775.45872457185931</v>
      </c>
      <c r="W48" s="326">
        <f>('5.O&amp;M'!W73)*1000/'6.Venituri'!W23</f>
        <v>777.10450981937868</v>
      </c>
      <c r="X48" s="326">
        <f>('5.O&amp;M'!X73)*1000/'6.Venituri'!X23</f>
        <v>787.2931709151909</v>
      </c>
      <c r="Y48" s="326">
        <f>('5.O&amp;M'!Y73)*1000/'6.Venituri'!Y23</f>
        <v>795.93131786197819</v>
      </c>
      <c r="Z48" s="326">
        <f>('5.O&amp;M'!Z73)*1000/'6.Venituri'!Z23</f>
        <v>804.81300434904836</v>
      </c>
      <c r="AA48" s="326">
        <f>('5.O&amp;M'!AA73)*1000/'6.Venituri'!AA23</f>
        <v>813.9471961203518</v>
      </c>
      <c r="AB48" s="326">
        <f>('5.O&amp;M'!AB73)*1000/'6.Venituri'!AB23</f>
        <v>823.34314827733181</v>
      </c>
      <c r="AC48" s="326">
        <f>('5.O&amp;M'!AC73)*1000/'6.Venituri'!AC23</f>
        <v>835.61723523082969</v>
      </c>
      <c r="AD48" s="326">
        <f>('5.O&amp;M'!AD73)*1000/'6.Venituri'!AD23</f>
        <v>848.24013871939792</v>
      </c>
      <c r="AE48" s="326">
        <f>('5.O&amp;M'!AE73)*1000/'6.Venituri'!AE23</f>
        <v>861.22344026579049</v>
      </c>
      <c r="AF48" s="326">
        <f>('5.O&amp;M'!AF73)*1000/'6.Venituri'!AF23</f>
        <v>874.57911165969745</v>
      </c>
      <c r="AG48" s="326">
        <f>('5.O&amp;M'!AG73)*1000/'6.Venituri'!AG23</f>
        <v>888.319527649983</v>
      </c>
      <c r="AH48" s="326">
        <f>('5.O&amp;M'!AH73)*1000/'6.Venituri'!AH23</f>
        <v>902.45747903630843</v>
      </c>
      <c r="AI48" s="326">
        <f>('5.O&amp;M'!AI73)*1000/'6.Venituri'!AI23</f>
        <v>917.00618617273915</v>
      </c>
      <c r="AJ48" s="326">
        <f>('5.O&amp;M'!AJ73)*1000/'6.Venituri'!AJ23</f>
        <v>895.54758848092649</v>
      </c>
      <c r="AK48" s="326">
        <f>('5.O&amp;M'!AK73)*1000/'6.Venituri'!AK23</f>
        <v>907.18952999028659</v>
      </c>
      <c r="AL48" s="326">
        <f>('5.O&amp;M'!AL73)*1000/'6.Venituri'!AL23</f>
        <v>919.12536096912697</v>
      </c>
      <c r="AM48" s="326">
        <f>('5.O&amp;M'!AM73)*1000/'6.Venituri'!AM23</f>
        <v>931.36359478659574</v>
      </c>
      <c r="AN48" s="326">
        <f>('5.O&amp;M'!AN73)*1000/'6.Venituri'!AN23</f>
        <v>943.91298225240075</v>
      </c>
      <c r="AO48" s="326">
        <f>('5.O&amp;M'!AO73)*1000/'6.Venituri'!AO23</f>
        <v>956.78251788457248</v>
      </c>
      <c r="AP48" s="326">
        <f>('5.O&amp;M'!AP73)*1000/'6.Venituri'!AP23</f>
        <v>969.98144633844345</v>
      </c>
      <c r="AQ48" s="326">
        <f>('5.O&amp;M'!AQ73)*1000/'6.Venituri'!AQ23</f>
        <v>983.5192690010266</v>
      </c>
      <c r="AR48" s="326">
        <f>('5.O&amp;M'!AR73)*1000/'6.Venituri'!AR23</f>
        <v>997.40575075506547</v>
      </c>
      <c r="AS48" s="326">
        <f>('5.O&amp;M'!AS73)*1000/'6.Venituri'!AS23</f>
        <v>1011.6509269171581</v>
      </c>
      <c r="AU48" s="41"/>
    </row>
    <row r="49" spans="1:47" x14ac:dyDescent="0.3">
      <c r="A49" s="41"/>
      <c r="B49" s="300">
        <f>B48+1</f>
        <v>18</v>
      </c>
      <c r="C49" s="598" t="s">
        <v>397</v>
      </c>
      <c r="D49" s="599"/>
      <c r="E49" s="599"/>
      <c r="F49" s="599"/>
      <c r="G49" s="600"/>
      <c r="H49" s="43"/>
      <c r="I49" s="315" t="s">
        <v>395</v>
      </c>
      <c r="J49" s="43"/>
      <c r="K49" s="43"/>
      <c r="L49" s="43"/>
      <c r="M49" s="316">
        <f>M48</f>
        <v>432.66170701159962</v>
      </c>
      <c r="N49" s="316">
        <f t="shared" ref="N49:AH49" si="30">N48</f>
        <v>687.4038421296716</v>
      </c>
      <c r="O49" s="316">
        <f t="shared" si="30"/>
        <v>786.28133266163923</v>
      </c>
      <c r="P49" s="316">
        <f t="shared" si="30"/>
        <v>868.20405711823003</v>
      </c>
      <c r="Q49" s="316">
        <f t="shared" si="30"/>
        <v>826.69535101452595</v>
      </c>
      <c r="R49" s="316">
        <f t="shared" si="30"/>
        <v>825.90880084500316</v>
      </c>
      <c r="S49" s="316">
        <f t="shared" si="30"/>
        <v>800.91764761533261</v>
      </c>
      <c r="T49" s="316">
        <f t="shared" si="30"/>
        <v>772.2890307331827</v>
      </c>
      <c r="U49" s="316">
        <f t="shared" si="30"/>
        <v>773.85288287028698</v>
      </c>
      <c r="V49" s="316">
        <f t="shared" si="30"/>
        <v>775.45872457185931</v>
      </c>
      <c r="W49" s="316">
        <f t="shared" si="30"/>
        <v>777.10450981937868</v>
      </c>
      <c r="X49" s="316">
        <f t="shared" si="30"/>
        <v>787.2931709151909</v>
      </c>
      <c r="Y49" s="316">
        <f t="shared" si="30"/>
        <v>795.93131786197819</v>
      </c>
      <c r="Z49" s="316">
        <f t="shared" si="30"/>
        <v>804.81300434904836</v>
      </c>
      <c r="AA49" s="316">
        <f t="shared" si="30"/>
        <v>813.9471961203518</v>
      </c>
      <c r="AB49" s="316">
        <f t="shared" si="30"/>
        <v>823.34314827733181</v>
      </c>
      <c r="AC49" s="316">
        <f t="shared" si="30"/>
        <v>835.61723523082969</v>
      </c>
      <c r="AD49" s="316">
        <f t="shared" si="30"/>
        <v>848.24013871939792</v>
      </c>
      <c r="AE49" s="316">
        <f t="shared" si="30"/>
        <v>861.22344026579049</v>
      </c>
      <c r="AF49" s="316">
        <f t="shared" si="30"/>
        <v>874.57911165969745</v>
      </c>
      <c r="AG49" s="316">
        <f t="shared" si="30"/>
        <v>888.319527649983</v>
      </c>
      <c r="AH49" s="316">
        <f t="shared" si="30"/>
        <v>902.45747903630843</v>
      </c>
      <c r="AI49" s="316">
        <f t="shared" ref="AI49:AS49" si="31">AI48</f>
        <v>917.00618617273915</v>
      </c>
      <c r="AJ49" s="316">
        <f t="shared" si="31"/>
        <v>895.54758848092649</v>
      </c>
      <c r="AK49" s="316">
        <f t="shared" si="31"/>
        <v>907.18952999028659</v>
      </c>
      <c r="AL49" s="316">
        <f t="shared" si="31"/>
        <v>919.12536096912697</v>
      </c>
      <c r="AM49" s="316">
        <f t="shared" si="31"/>
        <v>931.36359478659574</v>
      </c>
      <c r="AN49" s="316">
        <f t="shared" si="31"/>
        <v>943.91298225240075</v>
      </c>
      <c r="AO49" s="316">
        <f t="shared" si="31"/>
        <v>956.78251788457248</v>
      </c>
      <c r="AP49" s="316">
        <f t="shared" si="31"/>
        <v>969.98144633844345</v>
      </c>
      <c r="AQ49" s="316">
        <f t="shared" si="31"/>
        <v>983.5192690010266</v>
      </c>
      <c r="AR49" s="316">
        <f t="shared" si="31"/>
        <v>997.40575075506547</v>
      </c>
      <c r="AS49" s="316">
        <f t="shared" si="31"/>
        <v>1011.6509269171581</v>
      </c>
      <c r="AU49" s="41"/>
    </row>
    <row r="50" spans="1:47" x14ac:dyDescent="0.3">
      <c r="A50" s="41"/>
      <c r="B50" s="300">
        <f>B49+1</f>
        <v>19</v>
      </c>
      <c r="C50" s="598" t="s">
        <v>398</v>
      </c>
      <c r="D50" s="599"/>
      <c r="E50" s="599"/>
      <c r="F50" s="599"/>
      <c r="G50" s="600"/>
      <c r="H50" s="43"/>
      <c r="I50" s="315" t="s">
        <v>395</v>
      </c>
      <c r="J50" s="43"/>
      <c r="K50" s="43"/>
      <c r="L50" s="43"/>
      <c r="M50" s="316">
        <f>M41</f>
        <v>228.57142857142856</v>
      </c>
      <c r="N50" s="316">
        <f t="shared" ref="N50:AH50" si="32">N41</f>
        <v>228.57142857142856</v>
      </c>
      <c r="O50" s="316">
        <f t="shared" si="32"/>
        <v>228.57142857142856</v>
      </c>
      <c r="P50" s="316">
        <f t="shared" si="32"/>
        <v>238.42911187173485</v>
      </c>
      <c r="Q50" s="316">
        <f t="shared" si="32"/>
        <v>250.63620133200277</v>
      </c>
      <c r="R50" s="316">
        <f t="shared" si="32"/>
        <v>264.47966365021432</v>
      </c>
      <c r="S50" s="316">
        <f t="shared" si="32"/>
        <v>283.30874800208886</v>
      </c>
      <c r="T50" s="316">
        <f t="shared" si="32"/>
        <v>301.72917555188417</v>
      </c>
      <c r="U50" s="316">
        <f t="shared" si="32"/>
        <v>319.79487700863501</v>
      </c>
      <c r="V50" s="316">
        <f t="shared" si="32"/>
        <v>338.94224240632741</v>
      </c>
      <c r="W50" s="316">
        <f t="shared" si="32"/>
        <v>359.23603517991171</v>
      </c>
      <c r="X50" s="316">
        <f t="shared" si="32"/>
        <v>380.74489640354636</v>
      </c>
      <c r="Y50" s="316">
        <f t="shared" si="32"/>
        <v>403.54157695996548</v>
      </c>
      <c r="Z50" s="316">
        <f t="shared" si="32"/>
        <v>427.70318361073373</v>
      </c>
      <c r="AA50" s="316">
        <f t="shared" si="32"/>
        <v>453.31143979968408</v>
      </c>
      <c r="AB50" s="316">
        <f t="shared" si="32"/>
        <v>480.45296207167524</v>
      </c>
      <c r="AC50" s="316">
        <f t="shared" si="32"/>
        <v>509.21955304161622</v>
      </c>
      <c r="AD50" s="316">
        <f t="shared" si="32"/>
        <v>539.70851190468795</v>
      </c>
      <c r="AE50" s="316">
        <f t="shared" si="32"/>
        <v>572.02296353802285</v>
      </c>
      <c r="AF50" s="316">
        <f t="shared" si="32"/>
        <v>606.27220730698298</v>
      </c>
      <c r="AG50" s="316">
        <f t="shared" si="32"/>
        <v>642.57208675583001</v>
      </c>
      <c r="AH50" s="316">
        <f t="shared" si="32"/>
        <v>681.04538143321565</v>
      </c>
      <c r="AI50" s="316">
        <f t="shared" ref="AI50:AS50" si="33">AI41</f>
        <v>721.82222217779224</v>
      </c>
      <c r="AJ50" s="316">
        <f t="shared" si="33"/>
        <v>758.34642661998839</v>
      </c>
      <c r="AK50" s="316">
        <f t="shared" si="33"/>
        <v>796.71875580695996</v>
      </c>
      <c r="AL50" s="316">
        <f t="shared" si="33"/>
        <v>837.03272485079185</v>
      </c>
      <c r="AM50" s="316">
        <f t="shared" si="33"/>
        <v>879.38658072824228</v>
      </c>
      <c r="AN50" s="316">
        <f t="shared" si="33"/>
        <v>923.8835417130914</v>
      </c>
      <c r="AO50" s="316">
        <f t="shared" si="33"/>
        <v>970.63204892377371</v>
      </c>
      <c r="AP50" s="316">
        <f t="shared" si="33"/>
        <v>1019.7460305993166</v>
      </c>
      <c r="AQ50" s="316">
        <f t="shared" si="33"/>
        <v>1071.3451797476419</v>
      </c>
      <c r="AR50" s="316">
        <f t="shared" si="33"/>
        <v>1125.5552458428726</v>
      </c>
      <c r="AS50" s="316">
        <f t="shared" si="33"/>
        <v>1182.5083412825218</v>
      </c>
      <c r="AU50" s="41"/>
    </row>
    <row r="51" spans="1:47" x14ac:dyDescent="0.3">
      <c r="A51" s="41"/>
      <c r="B51" s="300">
        <f t="shared" ref="B51:B54" si="34">B50+1</f>
        <v>20</v>
      </c>
      <c r="C51" s="598" t="s">
        <v>399</v>
      </c>
      <c r="D51" s="599"/>
      <c r="E51" s="599"/>
      <c r="F51" s="599"/>
      <c r="G51" s="600"/>
      <c r="H51" s="43"/>
      <c r="I51" s="315" t="s">
        <v>395</v>
      </c>
      <c r="J51" s="43"/>
      <c r="K51" s="43"/>
      <c r="L51" s="43"/>
      <c r="M51" s="316">
        <f>N((M49-M50)&gt;0)*(M49-M50)</f>
        <v>204.09027844017106</v>
      </c>
      <c r="N51" s="316">
        <f t="shared" ref="N51:AH51" si="35">N((N49-N50)&gt;0)*(N49-N50)</f>
        <v>458.83241355824305</v>
      </c>
      <c r="O51" s="316">
        <f t="shared" si="35"/>
        <v>557.70990409021067</v>
      </c>
      <c r="P51" s="316">
        <f t="shared" si="35"/>
        <v>629.77494524649524</v>
      </c>
      <c r="Q51" s="316">
        <f t="shared" si="35"/>
        <v>576.05914968252318</v>
      </c>
      <c r="R51" s="316">
        <f t="shared" si="35"/>
        <v>561.42913719478884</v>
      </c>
      <c r="S51" s="316">
        <f t="shared" si="35"/>
        <v>517.60889961324369</v>
      </c>
      <c r="T51" s="316">
        <f t="shared" si="35"/>
        <v>470.55985518129853</v>
      </c>
      <c r="U51" s="316">
        <f t="shared" si="35"/>
        <v>454.05800586165196</v>
      </c>
      <c r="V51" s="316">
        <f t="shared" si="35"/>
        <v>436.5164821655319</v>
      </c>
      <c r="W51" s="316">
        <f t="shared" si="35"/>
        <v>417.86847463946697</v>
      </c>
      <c r="X51" s="316">
        <f t="shared" si="35"/>
        <v>406.54827451164454</v>
      </c>
      <c r="Y51" s="316">
        <f t="shared" si="35"/>
        <v>392.3897409020127</v>
      </c>
      <c r="Z51" s="316">
        <f t="shared" si="35"/>
        <v>377.10982073831462</v>
      </c>
      <c r="AA51" s="316">
        <f t="shared" si="35"/>
        <v>360.63575632066772</v>
      </c>
      <c r="AB51" s="316">
        <f t="shared" si="35"/>
        <v>342.89018620565656</v>
      </c>
      <c r="AC51" s="316">
        <f t="shared" si="35"/>
        <v>326.39768218921347</v>
      </c>
      <c r="AD51" s="316">
        <f t="shared" si="35"/>
        <v>308.53162681470997</v>
      </c>
      <c r="AE51" s="316">
        <f t="shared" si="35"/>
        <v>289.20047672776764</v>
      </c>
      <c r="AF51" s="316">
        <f t="shared" si="35"/>
        <v>268.30690435271447</v>
      </c>
      <c r="AG51" s="316">
        <f t="shared" si="35"/>
        <v>245.74744089415299</v>
      </c>
      <c r="AH51" s="316">
        <f t="shared" si="35"/>
        <v>221.41209760309277</v>
      </c>
      <c r="AI51" s="316">
        <f t="shared" ref="AI51:AS51" si="36">N((AI49-AI50)&gt;0)*(AI49-AI50)</f>
        <v>195.18396399494691</v>
      </c>
      <c r="AJ51" s="316">
        <f t="shared" si="36"/>
        <v>137.2011618609381</v>
      </c>
      <c r="AK51" s="316">
        <f t="shared" si="36"/>
        <v>110.47077418332663</v>
      </c>
      <c r="AL51" s="316">
        <f t="shared" si="36"/>
        <v>82.092636118335122</v>
      </c>
      <c r="AM51" s="316">
        <f t="shared" si="36"/>
        <v>51.977014058353461</v>
      </c>
      <c r="AN51" s="316">
        <f t="shared" si="36"/>
        <v>20.029440539309348</v>
      </c>
      <c r="AO51" s="316">
        <f t="shared" si="36"/>
        <v>0</v>
      </c>
      <c r="AP51" s="316">
        <f t="shared" si="36"/>
        <v>0</v>
      </c>
      <c r="AQ51" s="316">
        <f t="shared" si="36"/>
        <v>0</v>
      </c>
      <c r="AR51" s="316">
        <f t="shared" si="36"/>
        <v>0</v>
      </c>
      <c r="AS51" s="316">
        <f t="shared" si="36"/>
        <v>0</v>
      </c>
      <c r="AU51" s="41"/>
    </row>
    <row r="52" spans="1:47" x14ac:dyDescent="0.3">
      <c r="A52" s="41"/>
      <c r="B52" s="300">
        <f t="shared" si="34"/>
        <v>21</v>
      </c>
      <c r="C52" s="598" t="s">
        <v>401</v>
      </c>
      <c r="D52" s="599"/>
      <c r="E52" s="599"/>
      <c r="F52" s="599"/>
      <c r="G52" s="600"/>
      <c r="H52" s="43"/>
      <c r="I52" s="315" t="s">
        <v>175</v>
      </c>
      <c r="J52" s="43"/>
      <c r="K52" s="43"/>
      <c r="L52" s="43"/>
      <c r="M52" s="316">
        <f>M16</f>
        <v>74399.999999999985</v>
      </c>
      <c r="N52" s="316">
        <f t="shared" ref="N52:AH52" si="37">N16</f>
        <v>64419</v>
      </c>
      <c r="O52" s="316">
        <f t="shared" si="37"/>
        <v>62516.530018949939</v>
      </c>
      <c r="P52" s="316">
        <f t="shared" si="37"/>
        <v>60672.051809986639</v>
      </c>
      <c r="Q52" s="316">
        <f t="shared" si="37"/>
        <v>58883.744992120221</v>
      </c>
      <c r="R52" s="316">
        <f t="shared" si="37"/>
        <v>57419.320050966067</v>
      </c>
      <c r="S52" s="316">
        <f t="shared" si="37"/>
        <v>56176.363206957183</v>
      </c>
      <c r="T52" s="316">
        <f t="shared" si="37"/>
        <v>54973.75663186179</v>
      </c>
      <c r="U52" s="316">
        <f t="shared" si="37"/>
        <v>54323.85880060379</v>
      </c>
      <c r="V52" s="316">
        <f t="shared" si="37"/>
        <v>53684.663048306364</v>
      </c>
      <c r="W52" s="316">
        <f t="shared" si="37"/>
        <v>53055.975059733821</v>
      </c>
      <c r="X52" s="316">
        <f t="shared" si="37"/>
        <v>52437.604125525584</v>
      </c>
      <c r="Y52" s="316">
        <f t="shared" si="37"/>
        <v>51829.363074979454</v>
      </c>
      <c r="Z52" s="316">
        <f t="shared" si="37"/>
        <v>51231.068210088983</v>
      </c>
      <c r="AA52" s="316">
        <f t="shared" si="37"/>
        <v>50642.53924081166</v>
      </c>
      <c r="AB52" s="316">
        <f t="shared" si="37"/>
        <v>50063.599221544682</v>
      </c>
      <c r="AC52" s="316">
        <f t="shared" si="37"/>
        <v>49494.074488786187</v>
      </c>
      <c r="AD52" s="316">
        <f t="shared" si="37"/>
        <v>48933.794599959416</v>
      </c>
      <c r="AE52" s="316">
        <f t="shared" si="37"/>
        <v>48382.59227337833</v>
      </c>
      <c r="AF52" s="316">
        <f t="shared" si="37"/>
        <v>47840.303329333379</v>
      </c>
      <c r="AG52" s="316">
        <f t="shared" si="37"/>
        <v>47306.766632276383</v>
      </c>
      <c r="AH52" s="316">
        <f t="shared" si="37"/>
        <v>46781.824034084202</v>
      </c>
      <c r="AI52" s="316">
        <f t="shared" ref="AI52:AS52" si="38">AI16</f>
        <v>46265.320318380858</v>
      </c>
      <c r="AJ52" s="316">
        <f t="shared" si="38"/>
        <v>46161.01200090647</v>
      </c>
      <c r="AK52" s="316">
        <f t="shared" si="38"/>
        <v>46059.538491035353</v>
      </c>
      <c r="AL52" s="316">
        <f t="shared" si="38"/>
        <v>45960.880399313668</v>
      </c>
      <c r="AM52" s="316">
        <f t="shared" si="38"/>
        <v>45865.018574975125</v>
      </c>
      <c r="AN52" s="316">
        <f t="shared" si="38"/>
        <v>45771.934103778243</v>
      </c>
      <c r="AO52" s="316">
        <f t="shared" si="38"/>
        <v>45681.608305866095</v>
      </c>
      <c r="AP52" s="316">
        <f t="shared" si="38"/>
        <v>45594.022733648693</v>
      </c>
      <c r="AQ52" s="316">
        <f t="shared" si="38"/>
        <v>45509.159169707673</v>
      </c>
      <c r="AR52" s="316">
        <f t="shared" si="38"/>
        <v>45426.999624723037</v>
      </c>
      <c r="AS52" s="316">
        <f t="shared" si="38"/>
        <v>45347.526335421819</v>
      </c>
      <c r="AU52" s="41"/>
    </row>
    <row r="53" spans="1:47" s="320" customFormat="1" ht="15.75" x14ac:dyDescent="0.3">
      <c r="A53" s="337"/>
      <c r="B53" s="338">
        <f t="shared" si="34"/>
        <v>22</v>
      </c>
      <c r="C53" s="679" t="s">
        <v>402</v>
      </c>
      <c r="D53" s="680"/>
      <c r="E53" s="680"/>
      <c r="F53" s="680"/>
      <c r="G53" s="681"/>
      <c r="H53" s="317"/>
      <c r="I53" s="313" t="s">
        <v>407</v>
      </c>
      <c r="J53" s="317"/>
      <c r="K53" s="317"/>
      <c r="L53" s="317"/>
      <c r="M53" s="340">
        <f>IF(M50&lt;M49,M52*M50/1000,M49*M52/1000)</f>
        <v>17005.714285714279</v>
      </c>
      <c r="N53" s="340">
        <f t="shared" ref="N53:AH53" si="39">IF(N50&lt;N49,N52*N50/1000,N49*N52/1000)</f>
        <v>14724.342857142856</v>
      </c>
      <c r="O53" s="340">
        <f t="shared" si="39"/>
        <v>14289.492575759985</v>
      </c>
      <c r="P53" s="340">
        <f t="shared" si="39"/>
        <v>14465.983428490996</v>
      </c>
      <c r="Q53" s="340">
        <f t="shared" si="39"/>
        <v>14758.398165027354</v>
      </c>
      <c r="R53" s="340">
        <f t="shared" si="39"/>
        <v>15186.242454103513</v>
      </c>
      <c r="S53" s="340">
        <f t="shared" si="39"/>
        <v>15915.255127473649</v>
      </c>
      <c r="T53" s="340">
        <f t="shared" si="39"/>
        <v>16587.186265521581</v>
      </c>
      <c r="U53" s="340">
        <f t="shared" si="39"/>
        <v>17372.491743773542</v>
      </c>
      <c r="V53" s="340">
        <f t="shared" si="39"/>
        <v>18196.000076421064</v>
      </c>
      <c r="W53" s="340">
        <f t="shared" si="39"/>
        <v>19059.618123063057</v>
      </c>
      <c r="X53" s="340">
        <f t="shared" si="39"/>
        <v>19965.350150423415</v>
      </c>
      <c r="Y53" s="340">
        <f t="shared" si="39"/>
        <v>20915.302908107813</v>
      </c>
      <c r="Z53" s="340">
        <f t="shared" si="39"/>
        <v>21911.690973233712</v>
      </c>
      <c r="AA53" s="340">
        <f t="shared" si="39"/>
        <v>22956.84237836433</v>
      </c>
      <c r="AB53" s="340">
        <f t="shared" si="39"/>
        <v>24053.204537960359</v>
      </c>
      <c r="AC53" s="340">
        <f t="shared" si="39"/>
        <v>25203.350489388165</v>
      </c>
      <c r="AD53" s="340">
        <f t="shared" si="39"/>
        <v>26409.985465393751</v>
      </c>
      <c r="AE53" s="340">
        <f t="shared" si="39"/>
        <v>27675.953815869718</v>
      </c>
      <c r="AF53" s="340">
        <f t="shared" si="39"/>
        <v>29004.246297710553</v>
      </c>
      <c r="AG53" s="340">
        <f t="shared" si="39"/>
        <v>30398.007752572907</v>
      </c>
      <c r="AH53" s="340">
        <f t="shared" si="39"/>
        <v>31860.545193434449</v>
      </c>
      <c r="AI53" s="340">
        <f t="shared" ref="AI53:AS53" si="40">IF(AI50&lt;AI49,AI52*AI50/1000,AI49*AI52/1000)</f>
        <v>33395.336321981034</v>
      </c>
      <c r="AJ53" s="340">
        <f t="shared" si="40"/>
        <v>35006.038500049821</v>
      </c>
      <c r="AK53" s="340">
        <f t="shared" si="40"/>
        <v>36696.498199620473</v>
      </c>
      <c r="AL53" s="340">
        <f t="shared" si="40"/>
        <v>38470.760957178871</v>
      </c>
      <c r="AM53" s="340">
        <f t="shared" si="40"/>
        <v>40333.081859684695</v>
      </c>
      <c r="AN53" s="340">
        <f t="shared" si="40"/>
        <v>42287.93659085688</v>
      </c>
      <c r="AO53" s="340">
        <f t="shared" si="40"/>
        <v>43707.364215903362</v>
      </c>
      <c r="AP53" s="340">
        <f t="shared" si="40"/>
        <v>44225.356115572431</v>
      </c>
      <c r="AQ53" s="340">
        <f t="shared" si="40"/>
        <v>44759.134959442257</v>
      </c>
      <c r="AR53" s="340">
        <f t="shared" si="40"/>
        <v>45309.150665246954</v>
      </c>
      <c r="AS53" s="340">
        <f t="shared" si="40"/>
        <v>45875.86705062972</v>
      </c>
      <c r="AU53" s="337"/>
    </row>
    <row r="54" spans="1:47" s="320" customFormat="1" ht="14.25" customHeight="1" x14ac:dyDescent="0.3">
      <c r="A54" s="337"/>
      <c r="B54" s="338">
        <f t="shared" si="34"/>
        <v>23</v>
      </c>
      <c r="C54" s="679" t="s">
        <v>403</v>
      </c>
      <c r="D54" s="680"/>
      <c r="E54" s="680"/>
      <c r="F54" s="680"/>
      <c r="G54" s="681"/>
      <c r="H54" s="317"/>
      <c r="I54" s="313" t="s">
        <v>407</v>
      </c>
      <c r="J54" s="317"/>
      <c r="K54" s="317"/>
      <c r="L54" s="317"/>
      <c r="M54" s="340">
        <f>M52*M51/1000</f>
        <v>15184.316715948724</v>
      </c>
      <c r="N54" s="340">
        <f t="shared" ref="N54:AH54" si="41">N52*N51/1000</f>
        <v>29557.525249008457</v>
      </c>
      <c r="O54" s="340">
        <f t="shared" si="41"/>
        <v>34866.087960921344</v>
      </c>
      <c r="P54" s="340">
        <f t="shared" si="41"/>
        <v>38209.738106626857</v>
      </c>
      <c r="Q54" s="340">
        <f t="shared" si="41"/>
        <v>33920.52007028331</v>
      </c>
      <c r="R54" s="340">
        <f t="shared" si="41"/>
        <v>32236.879314525318</v>
      </c>
      <c r="S54" s="340">
        <f t="shared" si="41"/>
        <v>29077.385543827015</v>
      </c>
      <c r="T54" s="340">
        <f t="shared" si="41"/>
        <v>25868.442959460834</v>
      </c>
      <c r="U54" s="340">
        <f t="shared" si="41"/>
        <v>24666.182997712109</v>
      </c>
      <c r="V54" s="340">
        <f t="shared" si="41"/>
        <v>23434.240260088616</v>
      </c>
      <c r="W54" s="340">
        <f t="shared" si="41"/>
        <v>22170.419368720573</v>
      </c>
      <c r="X54" s="340">
        <f t="shared" si="41"/>
        <v>21318.41747675712</v>
      </c>
      <c r="Y54" s="340">
        <f t="shared" si="41"/>
        <v>20337.31034810753</v>
      </c>
      <c r="Z54" s="340">
        <f t="shared" si="41"/>
        <v>19319.738948939026</v>
      </c>
      <c r="AA54" s="340">
        <f t="shared" si="41"/>
        <v>18263.510441109207</v>
      </c>
      <c r="AB54" s="340">
        <f t="shared" si="41"/>
        <v>17166.316859200819</v>
      </c>
      <c r="AC54" s="340">
        <f t="shared" si="41"/>
        <v>16154.751195240091</v>
      </c>
      <c r="AD54" s="340">
        <f t="shared" si="41"/>
        <v>15097.623254142347</v>
      </c>
      <c r="AE54" s="340">
        <f t="shared" si="41"/>
        <v>13992.268750786221</v>
      </c>
      <c r="AF54" s="340">
        <f t="shared" si="41"/>
        <v>12835.8836895883</v>
      </c>
      <c r="AG54" s="340">
        <f t="shared" si="41"/>
        <v>11625.516836858829</v>
      </c>
      <c r="AH54" s="340">
        <f t="shared" si="41"/>
        <v>10358.061789085363</v>
      </c>
      <c r="AI54" s="340">
        <f t="shared" ref="AI54:AS54" si="42">AI52*AI51/1000</f>
        <v>9030.2486152375368</v>
      </c>
      <c r="AJ54" s="340">
        <f t="shared" si="42"/>
        <v>6333.344479201075</v>
      </c>
      <c r="AK54" s="340">
        <f t="shared" si="42"/>
        <v>5088.2328756314073</v>
      </c>
      <c r="AL54" s="340">
        <f t="shared" si="42"/>
        <v>3773.0498302991782</v>
      </c>
      <c r="AM54" s="340">
        <f t="shared" si="42"/>
        <v>2383.9267152581247</v>
      </c>
      <c r="AN54" s="340">
        <f t="shared" si="42"/>
        <v>916.78623250081205</v>
      </c>
      <c r="AO54" s="340">
        <f t="shared" si="42"/>
        <v>0</v>
      </c>
      <c r="AP54" s="340">
        <f t="shared" si="42"/>
        <v>0</v>
      </c>
      <c r="AQ54" s="340">
        <f t="shared" si="42"/>
        <v>0</v>
      </c>
      <c r="AR54" s="340">
        <f t="shared" si="42"/>
        <v>0</v>
      </c>
      <c r="AS54" s="340">
        <f t="shared" si="42"/>
        <v>0</v>
      </c>
      <c r="AU54" s="337"/>
    </row>
    <row r="55" spans="1:47" x14ac:dyDescent="0.3">
      <c r="A55" s="41"/>
      <c r="AA55" s="43"/>
      <c r="AB55" s="43"/>
      <c r="AC55" s="43"/>
      <c r="AD55" s="43"/>
      <c r="AE55" s="43"/>
      <c r="AF55" s="43"/>
      <c r="AG55" s="43"/>
      <c r="AU55" s="41"/>
    </row>
    <row r="56" spans="1:47" ht="14.25" customHeight="1" x14ac:dyDescent="0.3">
      <c r="A56" s="41"/>
      <c r="C56" s="614" t="s">
        <v>404</v>
      </c>
      <c r="D56" s="614"/>
      <c r="E56" s="614"/>
      <c r="F56" s="614"/>
      <c r="G56" s="614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U56" s="41"/>
    </row>
    <row r="57" spans="1:47" ht="14.25" customHeight="1" x14ac:dyDescent="0.3">
      <c r="A57" s="41"/>
      <c r="B57" s="296">
        <f>B54+1</f>
        <v>24</v>
      </c>
      <c r="C57" s="598" t="s">
        <v>397</v>
      </c>
      <c r="D57" s="599"/>
      <c r="E57" s="599"/>
      <c r="F57" s="599"/>
      <c r="G57" s="600"/>
      <c r="H57" s="43"/>
      <c r="I57" s="315" t="s">
        <v>395</v>
      </c>
      <c r="J57" s="43"/>
      <c r="K57" s="43"/>
      <c r="L57" s="43"/>
      <c r="M57" s="326">
        <f>M48</f>
        <v>432.66170701159962</v>
      </c>
      <c r="N57" s="326">
        <f t="shared" ref="N57:AH57" si="43">N48</f>
        <v>687.4038421296716</v>
      </c>
      <c r="O57" s="326">
        <f t="shared" si="43"/>
        <v>786.28133266163923</v>
      </c>
      <c r="P57" s="326">
        <f t="shared" si="43"/>
        <v>868.20405711823003</v>
      </c>
      <c r="Q57" s="326">
        <f t="shared" si="43"/>
        <v>826.69535101452595</v>
      </c>
      <c r="R57" s="326">
        <f t="shared" si="43"/>
        <v>825.90880084500316</v>
      </c>
      <c r="S57" s="326">
        <f t="shared" si="43"/>
        <v>800.91764761533261</v>
      </c>
      <c r="T57" s="326">
        <f t="shared" si="43"/>
        <v>772.2890307331827</v>
      </c>
      <c r="U57" s="326">
        <f t="shared" si="43"/>
        <v>773.85288287028698</v>
      </c>
      <c r="V57" s="326">
        <f t="shared" si="43"/>
        <v>775.45872457185931</v>
      </c>
      <c r="W57" s="326">
        <f t="shared" si="43"/>
        <v>777.10450981937868</v>
      </c>
      <c r="X57" s="326">
        <f t="shared" si="43"/>
        <v>787.2931709151909</v>
      </c>
      <c r="Y57" s="326">
        <f t="shared" si="43"/>
        <v>795.93131786197819</v>
      </c>
      <c r="Z57" s="326">
        <f t="shared" si="43"/>
        <v>804.81300434904836</v>
      </c>
      <c r="AA57" s="326">
        <f t="shared" si="43"/>
        <v>813.9471961203518</v>
      </c>
      <c r="AB57" s="326">
        <f t="shared" si="43"/>
        <v>823.34314827733181</v>
      </c>
      <c r="AC57" s="326">
        <f t="shared" si="43"/>
        <v>835.61723523082969</v>
      </c>
      <c r="AD57" s="326">
        <f t="shared" si="43"/>
        <v>848.24013871939792</v>
      </c>
      <c r="AE57" s="326">
        <f t="shared" si="43"/>
        <v>861.22344026579049</v>
      </c>
      <c r="AF57" s="326">
        <f t="shared" si="43"/>
        <v>874.57911165969745</v>
      </c>
      <c r="AG57" s="326">
        <f t="shared" si="43"/>
        <v>888.319527649983</v>
      </c>
      <c r="AH57" s="326">
        <f t="shared" si="43"/>
        <v>902.45747903630843</v>
      </c>
      <c r="AI57" s="326">
        <f t="shared" ref="AI57:AS57" si="44">AI48</f>
        <v>917.00618617273915</v>
      </c>
      <c r="AJ57" s="326">
        <f t="shared" si="44"/>
        <v>895.54758848092649</v>
      </c>
      <c r="AK57" s="326">
        <f t="shared" si="44"/>
        <v>907.18952999028659</v>
      </c>
      <c r="AL57" s="326">
        <f t="shared" si="44"/>
        <v>919.12536096912697</v>
      </c>
      <c r="AM57" s="326">
        <f t="shared" si="44"/>
        <v>931.36359478659574</v>
      </c>
      <c r="AN57" s="326">
        <f t="shared" si="44"/>
        <v>943.91298225240075</v>
      </c>
      <c r="AO57" s="326">
        <f t="shared" si="44"/>
        <v>956.78251788457248</v>
      </c>
      <c r="AP57" s="326">
        <f t="shared" si="44"/>
        <v>969.98144633844345</v>
      </c>
      <c r="AQ57" s="326">
        <f t="shared" si="44"/>
        <v>983.5192690010266</v>
      </c>
      <c r="AR57" s="326">
        <f t="shared" si="44"/>
        <v>997.40575075506547</v>
      </c>
      <c r="AS57" s="326">
        <f t="shared" si="44"/>
        <v>1011.6509269171581</v>
      </c>
      <c r="AU57" s="41"/>
    </row>
    <row r="58" spans="1:47" ht="14.25" customHeight="1" x14ac:dyDescent="0.3">
      <c r="A58" s="41"/>
      <c r="B58" s="300">
        <f>B57+1</f>
        <v>25</v>
      </c>
      <c r="C58" s="598" t="s">
        <v>401</v>
      </c>
      <c r="D58" s="599"/>
      <c r="E58" s="599"/>
      <c r="F58" s="599"/>
      <c r="G58" s="600"/>
      <c r="H58" s="43"/>
      <c r="I58" s="315" t="s">
        <v>175</v>
      </c>
      <c r="J58" s="43"/>
      <c r="K58" s="43"/>
      <c r="L58" s="43"/>
      <c r="M58" s="326">
        <f>M20</f>
        <v>18959</v>
      </c>
      <c r="N58" s="326">
        <f t="shared" ref="N58:AH58" si="45">N20</f>
        <v>20149</v>
      </c>
      <c r="O58" s="326">
        <f t="shared" si="45"/>
        <v>19796.392499999998</v>
      </c>
      <c r="P58" s="326">
        <f t="shared" si="45"/>
        <v>19449.955631249995</v>
      </c>
      <c r="Q58" s="326">
        <f t="shared" si="45"/>
        <v>19109.581407703125</v>
      </c>
      <c r="R58" s="326">
        <f t="shared" si="45"/>
        <v>18775.163733068319</v>
      </c>
      <c r="S58" s="326">
        <f t="shared" si="45"/>
        <v>18446.598367739625</v>
      </c>
      <c r="T58" s="326">
        <f t="shared" si="45"/>
        <v>18123.782896304183</v>
      </c>
      <c r="U58" s="326">
        <f t="shared" si="45"/>
        <v>17806.616695618857</v>
      </c>
      <c r="V58" s="326">
        <f t="shared" si="45"/>
        <v>17495.000903445532</v>
      </c>
      <c r="W58" s="326">
        <f t="shared" si="45"/>
        <v>17188.838387635235</v>
      </c>
      <c r="X58" s="326">
        <f t="shared" si="45"/>
        <v>16888.033715851612</v>
      </c>
      <c r="Y58" s="326">
        <f t="shared" si="45"/>
        <v>16888.033715851612</v>
      </c>
      <c r="Z58" s="326">
        <f t="shared" si="45"/>
        <v>16888.033715851612</v>
      </c>
      <c r="AA58" s="326">
        <f t="shared" si="45"/>
        <v>16888.033715851612</v>
      </c>
      <c r="AB58" s="326">
        <f t="shared" si="45"/>
        <v>16888.033715851612</v>
      </c>
      <c r="AC58" s="326">
        <f t="shared" si="45"/>
        <v>16888.033715851612</v>
      </c>
      <c r="AD58" s="326">
        <f t="shared" si="45"/>
        <v>16888.033715851612</v>
      </c>
      <c r="AE58" s="326">
        <f t="shared" si="45"/>
        <v>16888.033715851612</v>
      </c>
      <c r="AF58" s="326">
        <f t="shared" si="45"/>
        <v>16888.033715851612</v>
      </c>
      <c r="AG58" s="326">
        <f t="shared" si="45"/>
        <v>16888.033715851612</v>
      </c>
      <c r="AH58" s="326">
        <f t="shared" si="45"/>
        <v>16888.033715851612</v>
      </c>
      <c r="AI58" s="326">
        <f t="shared" ref="AI58:AS58" si="46">AI20</f>
        <v>16888.033715851612</v>
      </c>
      <c r="AJ58" s="326">
        <f t="shared" si="46"/>
        <v>16888.033715851612</v>
      </c>
      <c r="AK58" s="326">
        <f t="shared" si="46"/>
        <v>16888.033715851612</v>
      </c>
      <c r="AL58" s="326">
        <f t="shared" si="46"/>
        <v>16888.033715851612</v>
      </c>
      <c r="AM58" s="326">
        <f t="shared" si="46"/>
        <v>16888.033715851612</v>
      </c>
      <c r="AN58" s="326">
        <f t="shared" si="46"/>
        <v>16888.033715851612</v>
      </c>
      <c r="AO58" s="326">
        <f t="shared" si="46"/>
        <v>16888.033715851612</v>
      </c>
      <c r="AP58" s="326">
        <f t="shared" si="46"/>
        <v>16888.033715851612</v>
      </c>
      <c r="AQ58" s="326">
        <f t="shared" si="46"/>
        <v>16888.033715851612</v>
      </c>
      <c r="AR58" s="326">
        <f t="shared" si="46"/>
        <v>16888.033715851612</v>
      </c>
      <c r="AS58" s="326">
        <f t="shared" si="46"/>
        <v>16888.033715851612</v>
      </c>
      <c r="AU58" s="41"/>
    </row>
    <row r="59" spans="1:47" s="320" customFormat="1" ht="14.25" customHeight="1" x14ac:dyDescent="0.3">
      <c r="A59" s="337"/>
      <c r="B59" s="338">
        <f>B58+1</f>
        <v>26</v>
      </c>
      <c r="C59" s="679" t="s">
        <v>402</v>
      </c>
      <c r="D59" s="680"/>
      <c r="E59" s="680"/>
      <c r="F59" s="680"/>
      <c r="G59" s="681"/>
      <c r="H59" s="317"/>
      <c r="I59" s="313" t="s">
        <v>407</v>
      </c>
      <c r="J59" s="317"/>
      <c r="K59" s="317"/>
      <c r="L59" s="317"/>
      <c r="M59" s="342">
        <f>M57*M58/1000</f>
        <v>8202.8333032329174</v>
      </c>
      <c r="N59" s="342">
        <f t="shared" ref="N59:AH59" si="47">N57*N58/1000</f>
        <v>13850.500015070753</v>
      </c>
      <c r="O59" s="342">
        <f t="shared" si="47"/>
        <v>15565.533876792879</v>
      </c>
      <c r="P59" s="342">
        <f t="shared" si="47"/>
        <v>16886.530389820811</v>
      </c>
      <c r="Q59" s="342">
        <f t="shared" si="47"/>
        <v>15797.802109581793</v>
      </c>
      <c r="R59" s="342">
        <f t="shared" si="47"/>
        <v>15506.572964447048</v>
      </c>
      <c r="S59" s="342">
        <f t="shared" si="47"/>
        <v>14774.206171194855</v>
      </c>
      <c r="T59" s="342">
        <f t="shared" si="47"/>
        <v>13996.798726205392</v>
      </c>
      <c r="U59" s="342">
        <f t="shared" si="47"/>
        <v>13779.701664070835</v>
      </c>
      <c r="V59" s="342">
        <f t="shared" si="47"/>
        <v>13566.651086969398</v>
      </c>
      <c r="W59" s="342">
        <f t="shared" si="47"/>
        <v>13357.523829587799</v>
      </c>
      <c r="X59" s="342">
        <f t="shared" si="47"/>
        <v>13295.83361467547</v>
      </c>
      <c r="Y59" s="342">
        <f t="shared" si="47"/>
        <v>13441.714931555294</v>
      </c>
      <c r="Z59" s="342">
        <f t="shared" si="47"/>
        <v>13591.70915240256</v>
      </c>
      <c r="AA59" s="342">
        <f t="shared" si="47"/>
        <v>13745.967691003387</v>
      </c>
      <c r="AB59" s="342">
        <f t="shared" si="47"/>
        <v>13904.646847822993</v>
      </c>
      <c r="AC59" s="342">
        <f t="shared" si="47"/>
        <v>14111.932042124959</v>
      </c>
      <c r="AD59" s="342">
        <f t="shared" si="47"/>
        <v>14325.108061831841</v>
      </c>
      <c r="AE59" s="342">
        <f t="shared" si="47"/>
        <v>14544.370496090387</v>
      </c>
      <c r="AF59" s="342">
        <f t="shared" si="47"/>
        <v>14769.921524888523</v>
      </c>
      <c r="AG59" s="342">
        <f t="shared" si="47"/>
        <v>15001.970133402292</v>
      </c>
      <c r="AH59" s="342">
        <f t="shared" si="47"/>
        <v>15240.732333087626</v>
      </c>
      <c r="AI59" s="342">
        <f t="shared" ref="AI59:AS59" si="48">AI57*AI58/1000</f>
        <v>15486.43138972972</v>
      </c>
      <c r="AJ59" s="342">
        <f t="shared" si="48"/>
        <v>15124.037868415491</v>
      </c>
      <c r="AK59" s="342">
        <f t="shared" si="48"/>
        <v>15320.647369143537</v>
      </c>
      <c r="AL59" s="342">
        <f t="shared" si="48"/>
        <v>15522.220085140902</v>
      </c>
      <c r="AM59" s="342">
        <f t="shared" si="48"/>
        <v>15728.899790472788</v>
      </c>
      <c r="AN59" s="342">
        <f t="shared" si="48"/>
        <v>15940.834269108587</v>
      </c>
      <c r="AO59" s="342">
        <f t="shared" si="48"/>
        <v>16158.175420772059</v>
      </c>
      <c r="AP59" s="342">
        <f t="shared" si="48"/>
        <v>16381.079369514146</v>
      </c>
      <c r="AQ59" s="342">
        <f t="shared" si="48"/>
        <v>16609.706575079068</v>
      </c>
      <c r="AR59" s="342">
        <f t="shared" si="48"/>
        <v>16844.221947135837</v>
      </c>
      <c r="AS59" s="342">
        <f t="shared" si="48"/>
        <v>17084.794962449501</v>
      </c>
      <c r="AU59" s="337"/>
    </row>
    <row r="60" spans="1:47" ht="14.25" customHeight="1" x14ac:dyDescent="0.3">
      <c r="A60" s="41"/>
      <c r="B60" s="300"/>
      <c r="C60" s="329"/>
      <c r="D60" s="329"/>
      <c r="E60" s="329"/>
      <c r="F60" s="329"/>
      <c r="G60" s="329"/>
      <c r="H60" s="43"/>
      <c r="I60" s="305"/>
      <c r="J60" s="43"/>
      <c r="K60" s="43"/>
      <c r="L60" s="43"/>
      <c r="M60" s="45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43"/>
      <c r="AB60" s="43"/>
      <c r="AC60" s="43"/>
      <c r="AD60" s="43"/>
      <c r="AE60" s="43"/>
      <c r="AF60" s="43"/>
      <c r="AG60" s="43"/>
      <c r="AU60" s="41"/>
    </row>
    <row r="61" spans="1:47" s="320" customFormat="1" ht="14.25" customHeight="1" x14ac:dyDescent="0.3">
      <c r="A61" s="337"/>
      <c r="B61" s="338">
        <f>B59+1</f>
        <v>27</v>
      </c>
      <c r="C61" s="679" t="s">
        <v>408</v>
      </c>
      <c r="D61" s="680"/>
      <c r="E61" s="680"/>
      <c r="F61" s="680"/>
      <c r="G61" s="681"/>
      <c r="H61" s="317"/>
      <c r="I61" s="313" t="s">
        <v>407</v>
      </c>
      <c r="J61" s="317"/>
      <c r="K61" s="317"/>
      <c r="L61" s="317"/>
      <c r="M61" s="342">
        <f>M53+M54+M59</f>
        <v>40392.86430489592</v>
      </c>
      <c r="N61" s="342">
        <f t="shared" ref="N61:AH61" si="49">N53+N54+N59</f>
        <v>58132.368121222069</v>
      </c>
      <c r="O61" s="342">
        <f t="shared" si="49"/>
        <v>64721.114413474206</v>
      </c>
      <c r="P61" s="342">
        <f t="shared" si="49"/>
        <v>69562.251924938668</v>
      </c>
      <c r="Q61" s="342">
        <f t="shared" si="49"/>
        <v>64476.720344892456</v>
      </c>
      <c r="R61" s="342">
        <f t="shared" si="49"/>
        <v>62929.694733075878</v>
      </c>
      <c r="S61" s="342">
        <f t="shared" si="49"/>
        <v>59766.846842495521</v>
      </c>
      <c r="T61" s="342">
        <f t="shared" si="49"/>
        <v>56452.427951187812</v>
      </c>
      <c r="U61" s="342">
        <f t="shared" si="49"/>
        <v>55818.376405556482</v>
      </c>
      <c r="V61" s="342">
        <f t="shared" si="49"/>
        <v>55196.891423479079</v>
      </c>
      <c r="W61" s="342">
        <f t="shared" si="49"/>
        <v>54587.561321371431</v>
      </c>
      <c r="X61" s="342">
        <f t="shared" si="49"/>
        <v>54579.601241856013</v>
      </c>
      <c r="Y61" s="342">
        <f t="shared" si="49"/>
        <v>54694.328187770639</v>
      </c>
      <c r="Z61" s="342">
        <f t="shared" si="49"/>
        <v>54823.139074575301</v>
      </c>
      <c r="AA61" s="342">
        <f t="shared" si="49"/>
        <v>54966.320510476929</v>
      </c>
      <c r="AB61" s="342">
        <f t="shared" si="49"/>
        <v>55124.168244984176</v>
      </c>
      <c r="AC61" s="342">
        <f t="shared" si="49"/>
        <v>55470.033726753216</v>
      </c>
      <c r="AD61" s="342">
        <f t="shared" si="49"/>
        <v>55832.716781367941</v>
      </c>
      <c r="AE61" s="342">
        <f t="shared" si="49"/>
        <v>56212.593062746324</v>
      </c>
      <c r="AF61" s="342">
        <f t="shared" si="49"/>
        <v>56610.051512187376</v>
      </c>
      <c r="AG61" s="342">
        <f t="shared" si="49"/>
        <v>57025.494722834024</v>
      </c>
      <c r="AH61" s="342">
        <f t="shared" si="49"/>
        <v>57459.339315607438</v>
      </c>
      <c r="AI61" s="342">
        <f t="shared" ref="AI61:AS61" si="50">AI53+AI54+AI59</f>
        <v>57912.016326948287</v>
      </c>
      <c r="AJ61" s="342">
        <f t="shared" si="50"/>
        <v>56463.420847666392</v>
      </c>
      <c r="AK61" s="342">
        <f t="shared" si="50"/>
        <v>57105.378444395421</v>
      </c>
      <c r="AL61" s="342">
        <f t="shared" si="50"/>
        <v>57766.030872618947</v>
      </c>
      <c r="AM61" s="342">
        <f t="shared" si="50"/>
        <v>58445.908365415606</v>
      </c>
      <c r="AN61" s="342">
        <f t="shared" si="50"/>
        <v>59145.557092466275</v>
      </c>
      <c r="AO61" s="342">
        <f t="shared" si="50"/>
        <v>59865.539636675421</v>
      </c>
      <c r="AP61" s="342">
        <f t="shared" si="50"/>
        <v>60606.435485086578</v>
      </c>
      <c r="AQ61" s="342">
        <f t="shared" si="50"/>
        <v>61368.841534521329</v>
      </c>
      <c r="AR61" s="342">
        <f t="shared" si="50"/>
        <v>62153.372612382795</v>
      </c>
      <c r="AS61" s="342">
        <f t="shared" si="50"/>
        <v>62960.662013079222</v>
      </c>
      <c r="AU61" s="337"/>
    </row>
    <row r="62" spans="1:47" s="489" customFormat="1" ht="14.25" customHeight="1" x14ac:dyDescent="0.3">
      <c r="A62" s="483"/>
      <c r="B62" s="484"/>
      <c r="C62" s="485"/>
      <c r="D62" s="485"/>
      <c r="E62" s="485"/>
      <c r="F62" s="485"/>
      <c r="G62" s="485"/>
      <c r="H62" s="486"/>
      <c r="I62" s="487"/>
      <c r="J62" s="486"/>
      <c r="K62" s="486"/>
      <c r="L62" s="486"/>
      <c r="M62" s="486"/>
      <c r="N62" s="488">
        <f>N61/M61-1</f>
        <v>0.43917419875014874</v>
      </c>
      <c r="O62" s="488">
        <f t="shared" ref="O62:AI62" si="51">O61/N61-1</f>
        <v>0.11334040750778951</v>
      </c>
      <c r="P62" s="488">
        <f t="shared" si="51"/>
        <v>7.479997146737305E-2</v>
      </c>
      <c r="Q62" s="488">
        <f t="shared" si="51"/>
        <v>-7.3107632937670974E-2</v>
      </c>
      <c r="R62" s="488">
        <f t="shared" si="51"/>
        <v>-2.3993553076852914E-2</v>
      </c>
      <c r="S62" s="488">
        <f t="shared" si="51"/>
        <v>-5.0260022776146718E-2</v>
      </c>
      <c r="T62" s="488">
        <f t="shared" si="51"/>
        <v>-5.5455809807772649E-2</v>
      </c>
      <c r="U62" s="488">
        <f t="shared" si="51"/>
        <v>-1.123160807502499E-2</v>
      </c>
      <c r="V62" s="488">
        <f t="shared" si="51"/>
        <v>-1.1134056955757976E-2</v>
      </c>
      <c r="W62" s="488">
        <f t="shared" si="51"/>
        <v>-1.1039210477140293E-2</v>
      </c>
      <c r="X62" s="488">
        <f t="shared" si="51"/>
        <v>-1.4582222254910793E-4</v>
      </c>
      <c r="Y62" s="488">
        <f t="shared" si="51"/>
        <v>2.1020114347527485E-3</v>
      </c>
      <c r="Z62" s="488">
        <f t="shared" si="51"/>
        <v>2.3551050186125799E-3</v>
      </c>
      <c r="AA62" s="488">
        <f t="shared" si="51"/>
        <v>2.6116971468352901E-3</v>
      </c>
      <c r="AB62" s="488">
        <f t="shared" si="51"/>
        <v>2.8717173178285371E-3</v>
      </c>
      <c r="AC62" s="488">
        <f t="shared" si="51"/>
        <v>6.2742984208294938E-3</v>
      </c>
      <c r="AD62" s="488">
        <f t="shared" si="51"/>
        <v>6.5383600882831239E-3</v>
      </c>
      <c r="AE62" s="488">
        <f t="shared" si="51"/>
        <v>6.8038294261394405E-3</v>
      </c>
      <c r="AF62" s="488">
        <f t="shared" si="51"/>
        <v>7.070630045431292E-3</v>
      </c>
      <c r="AG62" s="488">
        <f t="shared" si="51"/>
        <v>7.3386827877590655E-3</v>
      </c>
      <c r="AH62" s="488">
        <f t="shared" si="51"/>
        <v>7.6079058126907739E-3</v>
      </c>
      <c r="AI62" s="488">
        <f t="shared" si="51"/>
        <v>7.8782146946456688E-3</v>
      </c>
      <c r="AJ62" s="488"/>
      <c r="AK62" s="488"/>
      <c r="AL62" s="488"/>
      <c r="AM62" s="488"/>
      <c r="AN62" s="488"/>
      <c r="AO62" s="488"/>
      <c r="AP62" s="488"/>
      <c r="AQ62" s="488"/>
      <c r="AR62" s="488"/>
      <c r="AS62" s="488"/>
      <c r="AU62" s="483"/>
    </row>
    <row r="63" spans="1:47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1:47" ht="14.25" customHeight="1" x14ac:dyDescent="0.3">
      <c r="A64" s="41"/>
      <c r="B64" s="41"/>
      <c r="C64" s="692" t="s">
        <v>409</v>
      </c>
      <c r="D64" s="692"/>
      <c r="E64" s="692"/>
      <c r="F64" s="692"/>
      <c r="G64" s="692"/>
      <c r="H64" s="692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1:47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1:47" x14ac:dyDescent="0.3">
      <c r="A66" s="41"/>
      <c r="C66" s="614"/>
      <c r="D66" s="614"/>
      <c r="E66" s="614"/>
      <c r="F66" s="614"/>
      <c r="G66" s="614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U66" s="41"/>
    </row>
    <row r="67" spans="1:47" x14ac:dyDescent="0.3">
      <c r="A67" s="41"/>
      <c r="B67" s="296">
        <f>B61+1</f>
        <v>28</v>
      </c>
      <c r="C67" s="693" t="s">
        <v>388</v>
      </c>
      <c r="D67" s="694"/>
      <c r="E67" s="694"/>
      <c r="F67" s="694"/>
      <c r="G67" s="695"/>
      <c r="H67" s="43"/>
      <c r="I67" s="315" t="s">
        <v>359</v>
      </c>
      <c r="J67" s="43"/>
      <c r="K67" s="43"/>
      <c r="L67" s="43"/>
      <c r="M67" s="326">
        <f>M31</f>
        <v>201770</v>
      </c>
      <c r="N67" s="326">
        <f t="shared" ref="N67:AH67" si="52">N31</f>
        <v>197406.09</v>
      </c>
      <c r="O67" s="326">
        <f t="shared" si="52"/>
        <v>194599.44308140586</v>
      </c>
      <c r="P67" s="326">
        <f t="shared" si="52"/>
        <v>191700.34870759881</v>
      </c>
      <c r="Q67" s="326">
        <f t="shared" si="52"/>
        <v>188883.60455645999</v>
      </c>
      <c r="R67" s="326">
        <f t="shared" si="52"/>
        <v>180915.56543796786</v>
      </c>
      <c r="S67" s="326">
        <f t="shared" si="52"/>
        <v>169183.932760911</v>
      </c>
      <c r="T67" s="326">
        <f t="shared" si="52"/>
        <v>157004.46231620229</v>
      </c>
      <c r="U67" s="326">
        <f t="shared" si="52"/>
        <v>155724.80984466779</v>
      </c>
      <c r="V67" s="326">
        <f t="shared" si="52"/>
        <v>154466.66322494438</v>
      </c>
      <c r="W67" s="326">
        <f t="shared" si="52"/>
        <v>153229.6368038037</v>
      </c>
      <c r="X67" s="326">
        <f t="shared" si="52"/>
        <v>152013.35194868603</v>
      </c>
      <c r="Y67" s="326">
        <f t="shared" si="52"/>
        <v>151208.50641838953</v>
      </c>
      <c r="Z67" s="326">
        <f t="shared" si="52"/>
        <v>150416.8220238981</v>
      </c>
      <c r="AA67" s="326">
        <f t="shared" si="52"/>
        <v>149638.06019921106</v>
      </c>
      <c r="AB67" s="326">
        <f t="shared" si="52"/>
        <v>148871.98680380572</v>
      </c>
      <c r="AC67" s="326">
        <f t="shared" si="52"/>
        <v>148118.37204014845</v>
      </c>
      <c r="AD67" s="326">
        <f t="shared" si="52"/>
        <v>147376.99037274477</v>
      </c>
      <c r="AE67" s="326">
        <f t="shared" si="52"/>
        <v>146647.62044869986</v>
      </c>
      <c r="AF67" s="326">
        <f t="shared" si="52"/>
        <v>145930.04501976114</v>
      </c>
      <c r="AG67" s="326">
        <f t="shared" si="52"/>
        <v>145224.05086581522</v>
      </c>
      <c r="AH67" s="326">
        <f t="shared" si="52"/>
        <v>144529.42871981268</v>
      </c>
      <c r="AI67" s="326">
        <f t="shared" ref="AI67:AS67" si="53">AI31</f>
        <v>143845.97319409286</v>
      </c>
      <c r="AJ67" s="326">
        <f t="shared" si="53"/>
        <v>143707.94883184929</v>
      </c>
      <c r="AK67" s="326">
        <f t="shared" si="53"/>
        <v>143573.6755847708</v>
      </c>
      <c r="AL67" s="326">
        <f t="shared" si="53"/>
        <v>143443.12779606352</v>
      </c>
      <c r="AM67" s="326">
        <f t="shared" si="53"/>
        <v>143316.28012477321</v>
      </c>
      <c r="AN67" s="326">
        <f t="shared" si="53"/>
        <v>143193.10754292339</v>
      </c>
      <c r="AO67" s="326">
        <f t="shared" si="53"/>
        <v>143073.58533268323</v>
      </c>
      <c r="AP67" s="326">
        <f t="shared" si="53"/>
        <v>142957.68908356564</v>
      </c>
      <c r="AQ67" s="326">
        <f t="shared" si="53"/>
        <v>142845.39468965449</v>
      </c>
      <c r="AR67" s="326">
        <f t="shared" si="53"/>
        <v>142736.6783468613</v>
      </c>
      <c r="AS67" s="326">
        <f t="shared" si="53"/>
        <v>142631.51655021071</v>
      </c>
      <c r="AU67" s="41"/>
    </row>
    <row r="68" spans="1:47" ht="14.25" customHeight="1" x14ac:dyDescent="0.3">
      <c r="A68" s="41"/>
      <c r="B68" s="300">
        <f>B67+1</f>
        <v>29</v>
      </c>
      <c r="C68" s="693" t="s">
        <v>410</v>
      </c>
      <c r="D68" s="694"/>
      <c r="E68" s="694"/>
      <c r="F68" s="694"/>
      <c r="G68" s="695"/>
      <c r="H68" s="43"/>
      <c r="I68" s="315" t="s">
        <v>144</v>
      </c>
      <c r="J68" s="43"/>
      <c r="K68" s="43"/>
      <c r="L68" s="43"/>
      <c r="M68" s="324">
        <v>216.11</v>
      </c>
      <c r="N68" s="324">
        <v>1137.54</v>
      </c>
      <c r="O68" s="316">
        <f>'1.Input'!O80</f>
        <v>1166.19</v>
      </c>
      <c r="P68" s="316">
        <f>'1.Input'!P80</f>
        <v>282.45499999999998</v>
      </c>
      <c r="Q68" s="316">
        <f>'1.Input'!Q80</f>
        <v>167.32499999999999</v>
      </c>
      <c r="R68" s="316">
        <f>'1.Input'!R80</f>
        <v>197.5</v>
      </c>
      <c r="S68" s="316">
        <f>'1.Input'!S80</f>
        <v>187.69724137931036</v>
      </c>
      <c r="T68" s="316">
        <f>'1.Input'!T80</f>
        <v>177.48925887802366</v>
      </c>
      <c r="U68" s="316">
        <f>'1.Input'!U80</f>
        <v>166.81623572633052</v>
      </c>
      <c r="V68" s="316">
        <f>'1.Input'!V80</f>
        <v>155.63249828892305</v>
      </c>
      <c r="W68" s="316">
        <f>'1.Input'!W80</f>
        <v>143.88242421785216</v>
      </c>
      <c r="X68" s="316">
        <f>'1.Input'!X80</f>
        <v>145.24555957204279</v>
      </c>
      <c r="Y68" s="316">
        <f>'1.Input'!Y80</f>
        <v>146.46622917280874</v>
      </c>
      <c r="Z68" s="316">
        <f>'1.Input'!Z80</f>
        <v>147.54041990033522</v>
      </c>
      <c r="AA68" s="316">
        <f>'1.Input'!AA80</f>
        <v>148.46388599018056</v>
      </c>
      <c r="AB68" s="316">
        <f>'1.Input'!AB80</f>
        <v>149.2321281994289</v>
      </c>
      <c r="AC68" s="316">
        <f>'1.Input'!AC80</f>
        <v>154.43212819942889</v>
      </c>
      <c r="AD68" s="316">
        <f>'1.Input'!AD80</f>
        <v>159.63212819942888</v>
      </c>
      <c r="AE68" s="316">
        <f>'1.Input'!AE80</f>
        <v>164.83212819942887</v>
      </c>
      <c r="AF68" s="316">
        <f>'1.Input'!AF80</f>
        <v>170.03212819942885</v>
      </c>
      <c r="AG68" s="316">
        <f>'1.Input'!AG80</f>
        <v>175.23212819942884</v>
      </c>
      <c r="AH68" s="316">
        <f>'1.Input'!AH80</f>
        <v>180.43212819942883</v>
      </c>
      <c r="AI68" s="316">
        <f>'1.Input'!AI80</f>
        <v>185.63212819942882</v>
      </c>
      <c r="AJ68" s="316">
        <f>'1.Input'!AJ80</f>
        <v>190.83212819942881</v>
      </c>
      <c r="AK68" s="316">
        <f>'1.Input'!AK80</f>
        <v>196.0321281994288</v>
      </c>
      <c r="AL68" s="316">
        <f>'1.Input'!AL80</f>
        <v>201.23212819942879</v>
      </c>
      <c r="AM68" s="316">
        <f>'1.Input'!AM80</f>
        <v>206.43212819942877</v>
      </c>
      <c r="AN68" s="316">
        <f>'1.Input'!AN80</f>
        <v>211.63212819942876</v>
      </c>
      <c r="AO68" s="316">
        <f>'1.Input'!AO80</f>
        <v>216.83212819942875</v>
      </c>
      <c r="AP68" s="316">
        <f>'1.Input'!AP80</f>
        <v>222.03212819942874</v>
      </c>
      <c r="AQ68" s="316">
        <f>'1.Input'!AQ80</f>
        <v>227.23212819942873</v>
      </c>
      <c r="AR68" s="316">
        <f>'1.Input'!AR80</f>
        <v>232.43212819942872</v>
      </c>
      <c r="AS68" s="316">
        <f>'1.Input'!AS80</f>
        <v>237.63212819942871</v>
      </c>
      <c r="AU68" s="41"/>
    </row>
    <row r="69" spans="1:47" ht="14.25" customHeight="1" x14ac:dyDescent="0.3">
      <c r="A69" s="41"/>
      <c r="B69" s="300">
        <f>B68+1</f>
        <v>30</v>
      </c>
      <c r="C69" s="693" t="s">
        <v>411</v>
      </c>
      <c r="D69" s="694"/>
      <c r="E69" s="694"/>
      <c r="F69" s="694"/>
      <c r="G69" s="695"/>
      <c r="H69" s="43"/>
      <c r="I69" s="315" t="s">
        <v>144</v>
      </c>
      <c r="J69" s="43"/>
      <c r="K69" s="43"/>
      <c r="L69" s="43"/>
      <c r="M69" s="316">
        <f>'1.Input'!O82</f>
        <v>0</v>
      </c>
      <c r="N69" s="316">
        <f>'1.Input'!P82</f>
        <v>0</v>
      </c>
      <c r="O69" s="316">
        <f>'1.Input'!Q82</f>
        <v>0</v>
      </c>
      <c r="P69" s="316">
        <f>'1.Input'!R82</f>
        <v>0</v>
      </c>
      <c r="Q69" s="316">
        <f>'1.Input'!S82</f>
        <v>0</v>
      </c>
      <c r="R69" s="316">
        <f>'1.Input'!T82</f>
        <v>0</v>
      </c>
      <c r="S69" s="316">
        <f>'1.Input'!U82</f>
        <v>0</v>
      </c>
      <c r="T69" s="316">
        <f>'1.Input'!V82</f>
        <v>0</v>
      </c>
      <c r="U69" s="316">
        <f>'1.Input'!W82</f>
        <v>0</v>
      </c>
      <c r="V69" s="316">
        <f>'1.Input'!X82</f>
        <v>0</v>
      </c>
      <c r="W69" s="316">
        <f>'1.Input'!Y82</f>
        <v>0</v>
      </c>
      <c r="X69" s="316">
        <f>'1.Input'!Z82</f>
        <v>0</v>
      </c>
      <c r="Y69" s="316">
        <f>'1.Input'!AA82</f>
        <v>0</v>
      </c>
      <c r="Z69" s="316">
        <f>'1.Input'!AB82</f>
        <v>0</v>
      </c>
      <c r="AA69" s="316">
        <f>'1.Input'!AC82</f>
        <v>0</v>
      </c>
      <c r="AB69" s="316">
        <f>'1.Input'!AD82</f>
        <v>0</v>
      </c>
      <c r="AC69" s="316">
        <f>'1.Input'!AE82</f>
        <v>0</v>
      </c>
      <c r="AD69" s="316">
        <f>'1.Input'!AF82</f>
        <v>0</v>
      </c>
      <c r="AE69" s="316">
        <f>'1.Input'!AG82</f>
        <v>0</v>
      </c>
      <c r="AF69" s="316">
        <f>'1.Input'!AH82</f>
        <v>0</v>
      </c>
      <c r="AG69" s="316">
        <f>'1.Input'!AI82</f>
        <v>0</v>
      </c>
      <c r="AH69" s="316">
        <f>'1.Input'!AJ82</f>
        <v>0</v>
      </c>
      <c r="AI69" s="316">
        <f>'1.Input'!AK82</f>
        <v>0</v>
      </c>
      <c r="AJ69" s="316">
        <f>'1.Input'!AL82</f>
        <v>0</v>
      </c>
      <c r="AK69" s="316">
        <f>'1.Input'!AM82</f>
        <v>0</v>
      </c>
      <c r="AL69" s="316">
        <f>'1.Input'!AN82</f>
        <v>0</v>
      </c>
      <c r="AM69" s="316">
        <f>'1.Input'!AO82</f>
        <v>0</v>
      </c>
      <c r="AN69" s="316">
        <f>'1.Input'!AP82</f>
        <v>0</v>
      </c>
      <c r="AO69" s="316">
        <f>'1.Input'!AQ82</f>
        <v>0</v>
      </c>
      <c r="AP69" s="316">
        <f>'1.Input'!AR82</f>
        <v>0</v>
      </c>
      <c r="AQ69" s="316">
        <f>'1.Input'!AS82</f>
        <v>0</v>
      </c>
      <c r="AR69" s="316">
        <f>'1.Input'!AT82</f>
        <v>0</v>
      </c>
      <c r="AS69" s="316">
        <f>'1.Input'!AU82</f>
        <v>0</v>
      </c>
      <c r="AU69" s="41"/>
    </row>
    <row r="70" spans="1:47" ht="14.25" customHeight="1" x14ac:dyDescent="0.3">
      <c r="A70" s="41"/>
      <c r="B70" s="300">
        <f t="shared" ref="B70:B72" si="54">B69+1</f>
        <v>31</v>
      </c>
      <c r="C70" s="598" t="s">
        <v>583</v>
      </c>
      <c r="D70" s="599"/>
      <c r="E70" s="599"/>
      <c r="F70" s="599"/>
      <c r="G70" s="600"/>
      <c r="H70" s="43"/>
      <c r="I70" s="315" t="s">
        <v>121</v>
      </c>
      <c r="J70" s="43"/>
      <c r="K70" s="43"/>
      <c r="L70" s="43"/>
      <c r="M70" s="324">
        <v>300</v>
      </c>
      <c r="N70" s="324">
        <v>9000</v>
      </c>
      <c r="O70" s="316">
        <f>545+'3.BilantPRO'!I82</f>
        <v>545</v>
      </c>
      <c r="P70" s="316">
        <v>0</v>
      </c>
      <c r="Q70" s="316">
        <v>0</v>
      </c>
      <c r="R70" s="316">
        <f>'3.BilantPRO'!L82</f>
        <v>0</v>
      </c>
      <c r="S70" s="316">
        <f>IF('3.BilantPRO'!M83&lt;0,-'3.BilantPRO'!M83,0)</f>
        <v>0</v>
      </c>
      <c r="T70" s="316">
        <f>IF('3.BilantPRO'!N83&lt;0,-'3.BilantPRO'!N83,0)</f>
        <v>0</v>
      </c>
      <c r="U70" s="316">
        <f>IF('3.BilantPRO'!O83&lt;0,-'3.BilantPRO'!O83,0)</f>
        <v>0</v>
      </c>
      <c r="V70" s="316">
        <f>IF('3.BilantPRO'!P83&lt;0,-'3.BilantPRO'!P83,0)</f>
        <v>0</v>
      </c>
      <c r="W70" s="316">
        <f>IF('3.BilantPRO'!Q83&lt;0,-'3.BilantPRO'!Q83,0)</f>
        <v>0</v>
      </c>
      <c r="X70" s="316">
        <f>IF('3.BilantPRO'!R83&lt;0,-'3.BilantPRO'!R83,0)</f>
        <v>0</v>
      </c>
      <c r="Y70" s="316">
        <f>IF('3.BilantPRO'!S83&lt;0,-'3.BilantPRO'!S83,0)</f>
        <v>0</v>
      </c>
      <c r="Z70" s="316">
        <f>IF('3.BilantPRO'!T83&lt;0,-'3.BilantPRO'!T83,0)</f>
        <v>0</v>
      </c>
      <c r="AA70" s="316">
        <f>IF('3.BilantPRO'!U83&lt;0,-'3.BilantPRO'!U83,0)</f>
        <v>0</v>
      </c>
      <c r="AB70" s="316">
        <f>IF('3.BilantPRO'!V83&lt;0,-'3.BilantPRO'!V83,0)</f>
        <v>0</v>
      </c>
      <c r="AC70" s="316">
        <f>IF('3.BilantPRO'!W83&lt;0,-'3.BilantPRO'!W83,0)</f>
        <v>0</v>
      </c>
      <c r="AD70" s="316">
        <f>IF('3.BilantPRO'!X83&lt;0,-'3.BilantPRO'!X83,0)</f>
        <v>0</v>
      </c>
      <c r="AE70" s="316">
        <f>IF('3.BilantPRO'!Y83&lt;0,-'3.BilantPRO'!Y83,0)</f>
        <v>0</v>
      </c>
      <c r="AF70" s="316">
        <f>IF('3.BilantPRO'!Z83&lt;0,-'3.BilantPRO'!Z83,0)</f>
        <v>0</v>
      </c>
      <c r="AG70" s="316">
        <f>IF('3.BilantPRO'!AA83&lt;0,-'3.BilantPRO'!AA83,0)</f>
        <v>0</v>
      </c>
      <c r="AH70" s="316">
        <f>IF('3.BilantPRO'!AB83&lt;0,-'3.BilantPRO'!AB83,0)</f>
        <v>0</v>
      </c>
      <c r="AI70" s="316">
        <f>IF('3.BilantPRO'!AC83&lt;0,-'3.BilantPRO'!AC83,0)</f>
        <v>0</v>
      </c>
      <c r="AJ70" s="316">
        <f>IF('3.BilantPRO'!AD83&lt;0,-'3.BilantPRO'!AD83,0)</f>
        <v>0</v>
      </c>
      <c r="AK70" s="316">
        <f>IF('3.BilantPRO'!AE83&lt;0,-'3.BilantPRO'!AE83,0)</f>
        <v>0</v>
      </c>
      <c r="AL70" s="316">
        <f>IF('3.BilantPRO'!AF83&lt;0,-'3.BilantPRO'!AF83,0)</f>
        <v>0</v>
      </c>
      <c r="AM70" s="316">
        <f>IF('3.BilantPRO'!AG83&lt;0,-'3.BilantPRO'!AG83,0)</f>
        <v>0</v>
      </c>
      <c r="AN70" s="316">
        <f>IF('3.BilantPRO'!AH83&lt;0,-'3.BilantPRO'!AH83,0)</f>
        <v>0</v>
      </c>
      <c r="AO70" s="316">
        <f>IF('3.BilantPRO'!AI83&lt;0,-'3.BilantPRO'!AI83,0)</f>
        <v>0</v>
      </c>
      <c r="AP70" s="316">
        <f>IF('3.BilantPRO'!AJ83&lt;0,-'3.BilantPRO'!AJ83,0)</f>
        <v>0</v>
      </c>
      <c r="AQ70" s="316">
        <f>IF('3.BilantPRO'!AK83&lt;0,-'3.BilantPRO'!AK83,0)</f>
        <v>0</v>
      </c>
      <c r="AR70" s="316">
        <f>IF('3.BilantPRO'!AL83&lt;0,-'3.BilantPRO'!AL83,0)</f>
        <v>0</v>
      </c>
      <c r="AS70" s="316">
        <f>IF('3.BilantPRO'!AM83&lt;0,-'3.BilantPRO'!AM83,0)</f>
        <v>0</v>
      </c>
      <c r="AU70" s="41"/>
    </row>
    <row r="71" spans="1:47" ht="14.25" customHeight="1" x14ac:dyDescent="0.3">
      <c r="A71" s="41"/>
      <c r="B71" s="300">
        <f t="shared" si="54"/>
        <v>32</v>
      </c>
      <c r="C71" s="598" t="s">
        <v>584</v>
      </c>
      <c r="D71" s="599"/>
      <c r="E71" s="599"/>
      <c r="F71" s="599"/>
      <c r="G71" s="600"/>
      <c r="H71" s="43"/>
      <c r="I71" s="315" t="s">
        <v>585</v>
      </c>
      <c r="J71" s="43"/>
      <c r="K71" s="43"/>
      <c r="L71" s="43"/>
      <c r="M71" s="324">
        <v>200.33</v>
      </c>
      <c r="N71" s="324">
        <v>415.53</v>
      </c>
      <c r="O71" s="316">
        <f>'1.Input'!O81*'1.Input'!O37</f>
        <v>346.5</v>
      </c>
      <c r="P71" s="316">
        <f>'1.Input'!P81*'1.Input'!P37</f>
        <v>370.55</v>
      </c>
      <c r="Q71" s="316">
        <f>'1.Input'!Q81*'1.Input'!Q37</f>
        <v>421.54859999999996</v>
      </c>
      <c r="R71" s="316">
        <f>'1.Input'!R81*'1.Input'!R37</f>
        <v>436.78720000000004</v>
      </c>
      <c r="S71" s="316">
        <f>'1.Input'!S81*'1.Input'!S37</f>
        <v>452.26580000000001</v>
      </c>
      <c r="T71" s="316">
        <f>'1.Input'!T81*'1.Input'!T37</f>
        <v>464.41200000000003</v>
      </c>
      <c r="U71" s="316">
        <f>'1.Input'!U81*'1.Input'!U37</f>
        <v>474.81200000000001</v>
      </c>
      <c r="V71" s="316">
        <f>'1.Input'!V81*'1.Input'!V37</f>
        <v>485.21200000000005</v>
      </c>
      <c r="W71" s="316">
        <f>'1.Input'!W81*'1.Input'!W37</f>
        <v>499.88800000000003</v>
      </c>
      <c r="X71" s="316">
        <f>'1.Input'!X81*'1.Input'!X37</f>
        <v>514.56399999999996</v>
      </c>
      <c r="Y71" s="316">
        <f>'1.Input'!Y81*'1.Input'!Y37</f>
        <v>529.24</v>
      </c>
      <c r="Z71" s="316">
        <f>'1.Input'!Z81*'1.Input'!Z37</f>
        <v>543.91599999999994</v>
      </c>
      <c r="AA71" s="316">
        <f>'1.Input'!AA81*'1.Input'!AA37</f>
        <v>558.59199999999998</v>
      </c>
      <c r="AB71" s="316">
        <f>'1.Input'!AB81*'1.Input'!AB37</f>
        <v>573.26799999999992</v>
      </c>
      <c r="AC71" s="316">
        <f>'1.Input'!AC81*'1.Input'!AC37</f>
        <v>587.94399999999996</v>
      </c>
      <c r="AD71" s="316">
        <f>'1.Input'!AD81*'1.Input'!AD37</f>
        <v>602.61999999999989</v>
      </c>
      <c r="AE71" s="316">
        <f>'1.Input'!AE81*'1.Input'!AE37</f>
        <v>617.29599999999982</v>
      </c>
      <c r="AF71" s="316">
        <f>'1.Input'!AF81*'1.Input'!AF37</f>
        <v>631.97199999999987</v>
      </c>
      <c r="AG71" s="316">
        <f>'1.Input'!AG81*'1.Input'!AG37</f>
        <v>646.6479999999998</v>
      </c>
      <c r="AH71" s="316">
        <f>'1.Input'!AH81*'1.Input'!AH37</f>
        <v>661.32399999999984</v>
      </c>
      <c r="AI71" s="316">
        <f>'1.Input'!AI81*'1.Input'!AI37</f>
        <v>676</v>
      </c>
      <c r="AJ71" s="316">
        <f>'1.Input'!AJ81*'1.Input'!AJ37</f>
        <v>676</v>
      </c>
      <c r="AK71" s="316">
        <f>'1.Input'!AK81*'1.Input'!AK37</f>
        <v>676</v>
      </c>
      <c r="AL71" s="316">
        <f>'1.Input'!AL81*'1.Input'!AL37</f>
        <v>676</v>
      </c>
      <c r="AM71" s="316">
        <f>'1.Input'!AM81*'1.Input'!AM37</f>
        <v>676</v>
      </c>
      <c r="AN71" s="316">
        <f>'1.Input'!AN81*'1.Input'!AN37</f>
        <v>676</v>
      </c>
      <c r="AO71" s="316">
        <f>'1.Input'!AO81*'1.Input'!AO37</f>
        <v>676</v>
      </c>
      <c r="AP71" s="316">
        <f>'1.Input'!AP81*'1.Input'!AP37</f>
        <v>676</v>
      </c>
      <c r="AQ71" s="316">
        <f>'1.Input'!AQ81*'1.Input'!AQ37</f>
        <v>676</v>
      </c>
      <c r="AR71" s="316">
        <f>'1.Input'!AR81*'1.Input'!AR37</f>
        <v>676</v>
      </c>
      <c r="AS71" s="316">
        <f>'1.Input'!AS81*'1.Input'!AS37</f>
        <v>676</v>
      </c>
      <c r="AU71" s="41"/>
    </row>
    <row r="72" spans="1:47" s="320" customFormat="1" ht="15.75" customHeight="1" x14ac:dyDescent="0.3">
      <c r="A72" s="337"/>
      <c r="B72" s="300">
        <f t="shared" si="54"/>
        <v>33</v>
      </c>
      <c r="C72" s="679" t="s">
        <v>516</v>
      </c>
      <c r="D72" s="680"/>
      <c r="E72" s="680"/>
      <c r="F72" s="680"/>
      <c r="G72" s="681"/>
      <c r="H72" s="317"/>
      <c r="I72" s="313" t="s">
        <v>407</v>
      </c>
      <c r="J72" s="317"/>
      <c r="K72" s="298"/>
      <c r="L72" s="317"/>
      <c r="M72" s="340">
        <f>((M68+M69)*M67+M70*M71)/1000</f>
        <v>43664.613700000002</v>
      </c>
      <c r="N72" s="340">
        <f>((N68+N69)*N67+N(N70&gt;0)*(N70*N71))/1000</f>
        <v>228297.09361859999</v>
      </c>
      <c r="O72" s="340">
        <f t="shared" ref="O72:S72" si="55">((O68+O69)*O67+N(O70&gt;0)*(O70*O71))/1000</f>
        <v>227128.76702710471</v>
      </c>
      <c r="P72" s="340">
        <f t="shared" si="55"/>
        <v>54146.721994204818</v>
      </c>
      <c r="Q72" s="340">
        <f t="shared" si="55"/>
        <v>31604.949132409667</v>
      </c>
      <c r="R72" s="340">
        <f t="shared" si="55"/>
        <v>35730.824173998655</v>
      </c>
      <c r="S72" s="340">
        <f t="shared" si="55"/>
        <v>31755.357464925724</v>
      </c>
      <c r="T72" s="340">
        <f t="shared" ref="T72" si="56">((T68+T69)*T67+N(T70&gt;0)*(T70*T71))/1000</f>
        <v>27866.605657045337</v>
      </c>
      <c r="U72" s="340">
        <f t="shared" ref="U72" si="57">((U68+U69)*U67+N(U70&gt;0)*(U70*U71))/1000</f>
        <v>25977.426587486094</v>
      </c>
      <c r="V72" s="340">
        <f t="shared" ref="V72" si="58">((V68+V69)*V67+N(V70&gt;0)*(V70*V71))/1000</f>
        <v>24040.032700051808</v>
      </c>
      <c r="W72" s="340">
        <f t="shared" ref="W72" si="59">((W68+W69)*W67+N(W70&gt;0)*(W70*W71))/1000</f>
        <v>22047.051605352299</v>
      </c>
      <c r="X72" s="340">
        <f t="shared" ref="X72" si="60">((X68+X69)*X67+N(X70&gt;0)*(X70*X71))/1000</f>
        <v>22079.264366208783</v>
      </c>
      <c r="Y72" s="340">
        <f t="shared" ref="Y72" si="61">((Y68+Y69)*Y67+N(Y70&gt;0)*(Y70*Y71))/1000</f>
        <v>22146.939753953964</v>
      </c>
      <c r="Z72" s="340">
        <f t="shared" ref="Z72" si="62">((Z68+Z69)*Z67+N(Z70&gt;0)*(Z70*Z71))/1000</f>
        <v>22192.561081479918</v>
      </c>
      <c r="AA72" s="340">
        <f t="shared" ref="AA72" si="63">((AA68+AA69)*AA67+N(AA70&gt;0)*(AA70*AA71))/1000</f>
        <v>22215.847909207445</v>
      </c>
      <c r="AB72" s="340">
        <f t="shared" ref="AB72" si="64">((AB68+AB69)*AB67+N(AB70&gt;0)*(AB70*AB71))/1000</f>
        <v>22216.483420009223</v>
      </c>
      <c r="AC72" s="340">
        <f t="shared" ref="AC72" si="65">((AC68+AC69)*AC67+N(AC70&gt;0)*(AC70*AC71))/1000</f>
        <v>22874.235419594908</v>
      </c>
      <c r="AD72" s="340">
        <f t="shared" ref="AD72" si="66">((AD68+AD69)*AD67+N(AD70&gt;0)*(AD70*AD71))/1000</f>
        <v>23526.102620827987</v>
      </c>
      <c r="AE72" s="340">
        <f t="shared" ref="AE72" si="67">((AE68+AE69)*AE67+N(AE70&gt;0)*(AE70*AE71))/1000</f>
        <v>24172.23937394128</v>
      </c>
      <c r="AF72" s="340">
        <f t="shared" ref="AF72" si="68">((AF68+AF69)*AF67+N(AF70&gt;0)*(AF70*AF71))/1000</f>
        <v>24812.79612294845</v>
      </c>
      <c r="AG72" s="340">
        <f t="shared" ref="AG72" si="69">((AG68+AG69)*AG67+N(AG70&gt;0)*(AG70*AG71))/1000</f>
        <v>25447.919498958909</v>
      </c>
      <c r="AH72" s="340">
        <f t="shared" ref="AH72:AI72" si="70">((AH68+AH69)*AH67+N(AH70&gt;0)*(AH70*AH71))/1000</f>
        <v>26077.752411363454</v>
      </c>
      <c r="AI72" s="340">
        <f t="shared" si="70"/>
        <v>26702.434136937445</v>
      </c>
      <c r="AJ72" s="340">
        <f t="shared" ref="AJ72:AS72" si="71">((AJ68+AJ69)*AJ67+N(AJ70&gt;0)*(AJ70*AJ71))/1000</f>
        <v>27424.093714756422</v>
      </c>
      <c r="AK72" s="340">
        <f t="shared" si="71"/>
        <v>28145.053178296992</v>
      </c>
      <c r="AL72" s="340">
        <f t="shared" si="71"/>
        <v>28865.3658819845</v>
      </c>
      <c r="AM72" s="340">
        <f t="shared" si="71"/>
        <v>29585.084711782431</v>
      </c>
      <c r="AN72" s="340">
        <f t="shared" si="71"/>
        <v>30304.262092798552</v>
      </c>
      <c r="AO72" s="340">
        <f t="shared" si="71"/>
        <v>31022.949996808278</v>
      </c>
      <c r="AP72" s="340">
        <f t="shared" si="71"/>
        <v>31741.199949696322</v>
      </c>
      <c r="AQ72" s="340">
        <f t="shared" si="71"/>
        <v>32459.063038817567</v>
      </c>
      <c r="AR72" s="340">
        <f t="shared" si="71"/>
        <v>33176.589920278289</v>
      </c>
      <c r="AS72" s="340">
        <f t="shared" si="71"/>
        <v>33893.830826138605</v>
      </c>
      <c r="AU72" s="337"/>
    </row>
    <row r="73" spans="1:47" ht="14.25" customHeight="1" x14ac:dyDescent="0.3">
      <c r="A73" s="41"/>
      <c r="B73" s="300"/>
      <c r="C73" s="344"/>
      <c r="D73" s="344"/>
      <c r="E73" s="344"/>
      <c r="F73" s="344"/>
      <c r="G73" s="344"/>
      <c r="H73" s="317"/>
      <c r="I73" s="298"/>
      <c r="J73" s="43"/>
      <c r="K73" s="298"/>
      <c r="L73" s="43"/>
      <c r="M73" s="345"/>
      <c r="N73" s="346"/>
      <c r="O73" s="346"/>
      <c r="P73" s="340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43"/>
      <c r="AB73" s="43"/>
      <c r="AC73" s="43"/>
      <c r="AD73" s="43"/>
      <c r="AE73" s="43"/>
      <c r="AF73" s="43"/>
      <c r="AG73" s="43"/>
      <c r="AU73" s="41"/>
    </row>
    <row r="74" spans="1:47" ht="17.25" thickBot="1" x14ac:dyDescent="0.3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1:47" ht="23.25" customHeight="1" thickBot="1" x14ac:dyDescent="0.35">
      <c r="A75" s="41"/>
      <c r="B75" s="41"/>
      <c r="C75" s="615" t="s">
        <v>35</v>
      </c>
      <c r="D75" s="616"/>
      <c r="E75" s="616"/>
      <c r="F75" s="616"/>
      <c r="G75" s="616"/>
      <c r="H75" s="617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1:47" x14ac:dyDescent="0.3">
      <c r="A76" s="41"/>
      <c r="B76" s="41"/>
      <c r="C76" s="325"/>
      <c r="D76" s="325"/>
      <c r="E76" s="325"/>
      <c r="F76" s="325"/>
      <c r="G76" s="325"/>
      <c r="H76" s="325"/>
      <c r="AU76" s="41"/>
    </row>
    <row r="77" spans="1:47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1:47" x14ac:dyDescent="0.3">
      <c r="A78" s="41"/>
      <c r="B78" s="41"/>
      <c r="C78" s="679" t="s">
        <v>413</v>
      </c>
      <c r="D78" s="680"/>
      <c r="E78" s="680"/>
      <c r="F78" s="680"/>
      <c r="G78" s="680"/>
      <c r="H78" s="68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1:47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</row>
    <row r="80" spans="1:47" x14ac:dyDescent="0.3">
      <c r="A80" s="41"/>
      <c r="C80" s="614" t="s">
        <v>374</v>
      </c>
      <c r="D80" s="614"/>
      <c r="E80" s="614"/>
      <c r="F80" s="614"/>
      <c r="G80" s="614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1"/>
    </row>
    <row r="81" spans="1:47" x14ac:dyDescent="0.3">
      <c r="A81" s="41"/>
      <c r="B81" s="296">
        <f>B72+1</f>
        <v>34</v>
      </c>
      <c r="C81" s="598" t="s">
        <v>375</v>
      </c>
      <c r="D81" s="599"/>
      <c r="E81" s="599"/>
      <c r="F81" s="599"/>
      <c r="G81" s="600"/>
      <c r="H81" s="43"/>
      <c r="I81" s="308" t="s">
        <v>367</v>
      </c>
      <c r="J81" s="43"/>
      <c r="K81" s="43"/>
      <c r="L81" s="43"/>
      <c r="M81" s="326">
        <f>M14</f>
        <v>15380</v>
      </c>
      <c r="N81" s="326">
        <f>N14</f>
        <v>15057.091199999999</v>
      </c>
      <c r="O81" s="326">
        <f>'2.BilantNOPRO'!I16</f>
        <v>14741.401206800001</v>
      </c>
      <c r="P81" s="326">
        <f>'2.BilantNOPRO'!J16</f>
        <v>14432.759792158871</v>
      </c>
      <c r="Q81" s="326">
        <f>'2.BilantNOPRO'!K16</f>
        <v>14131.000909413588</v>
      </c>
      <c r="R81" s="326">
        <f>'2.BilantNOPRO'!L16</f>
        <v>13835.962587758482</v>
      </c>
      <c r="S81" s="326">
        <f>'2.BilantNOPRO'!M16</f>
        <v>13547.48682924909</v>
      </c>
      <c r="T81" s="326">
        <f>'2.BilantNOPRO'!N16</f>
        <v>13412.011960956599</v>
      </c>
      <c r="U81" s="326">
        <f>'2.BilantNOPRO'!O16</f>
        <v>13277.891841347035</v>
      </c>
      <c r="V81" s="326">
        <f>'2.BilantNOPRO'!P16</f>
        <v>13145.112922933564</v>
      </c>
      <c r="W81" s="326">
        <f>'2.BilantNOPRO'!Q16</f>
        <v>13013.661793704228</v>
      </c>
      <c r="X81" s="326">
        <f>'2.BilantNOPRO'!R16</f>
        <v>12883.525175767185</v>
      </c>
      <c r="Y81" s="326">
        <f>'2.BilantNOPRO'!S16</f>
        <v>12754.689924009512</v>
      </c>
      <c r="Z81" s="326">
        <f>'2.BilantNOPRO'!T16</f>
        <v>12627.143024769417</v>
      </c>
      <c r="AA81" s="326">
        <f>'2.BilantNOPRO'!U16</f>
        <v>12500.871594521723</v>
      </c>
      <c r="AB81" s="326">
        <f>'2.BilantNOPRO'!V16</f>
        <v>12375.862878576507</v>
      </c>
      <c r="AC81" s="326">
        <f>'2.BilantNOPRO'!W16</f>
        <v>12252.10424979074</v>
      </c>
      <c r="AD81" s="326">
        <f>'2.BilantNOPRO'!X16</f>
        <v>12129.583207292833</v>
      </c>
      <c r="AE81" s="326">
        <f>'2.BilantNOPRO'!Y16</f>
        <v>12008.287375219905</v>
      </c>
      <c r="AF81" s="326">
        <f>'2.BilantNOPRO'!Z16</f>
        <v>11888.204501467706</v>
      </c>
      <c r="AG81" s="326">
        <f>'2.BilantNOPRO'!AA16</f>
        <v>11769.32245645303</v>
      </c>
      <c r="AH81" s="326">
        <f>'2.BilantNOPRO'!AB16</f>
        <v>11651.629231888499</v>
      </c>
      <c r="AI81" s="326">
        <f>'2.BilantNOPRO'!AC16</f>
        <v>11535.112939569615</v>
      </c>
      <c r="AJ81" s="326">
        <f>'2.BilantNOPRO'!AD16</f>
        <v>11419.761810173917</v>
      </c>
      <c r="AK81" s="326">
        <f>'2.BilantNOPRO'!AE16</f>
        <v>11305.564192072179</v>
      </c>
      <c r="AL81" s="326">
        <f>'2.BilantNOPRO'!AF16</f>
        <v>11192.508550151459</v>
      </c>
      <c r="AM81" s="326">
        <f>'2.BilantNOPRO'!AG16</f>
        <v>11080.583464649942</v>
      </c>
      <c r="AN81" s="326">
        <f>'2.BilantNOPRO'!AH16</f>
        <v>10969.777630003442</v>
      </c>
      <c r="AO81" s="326">
        <f>'2.BilantNOPRO'!AI16</f>
        <v>10860.079853703408</v>
      </c>
      <c r="AP81" s="326">
        <f>'2.BilantNOPRO'!AJ16</f>
        <v>10751.479055166374</v>
      </c>
      <c r="AQ81" s="326">
        <f>'2.BilantNOPRO'!AK16</f>
        <v>10643.964264614711</v>
      </c>
      <c r="AR81" s="326">
        <f>'2.BilantNOPRO'!AL16</f>
        <v>10537.524621968563</v>
      </c>
      <c r="AS81" s="326">
        <f>'2.BilantNOPRO'!AM16</f>
        <v>10432.149375748879</v>
      </c>
      <c r="AT81" s="43"/>
      <c r="AU81" s="41"/>
    </row>
    <row r="82" spans="1:47" ht="14.25" customHeight="1" x14ac:dyDescent="0.3">
      <c r="A82" s="41"/>
      <c r="B82" s="300">
        <f>B81+1</f>
        <v>35</v>
      </c>
      <c r="C82" s="598" t="s">
        <v>414</v>
      </c>
      <c r="D82" s="599"/>
      <c r="E82" s="599"/>
      <c r="F82" s="599"/>
      <c r="G82" s="600"/>
      <c r="H82" s="43"/>
      <c r="I82" s="315" t="s">
        <v>377</v>
      </c>
      <c r="J82" s="43"/>
      <c r="K82" s="43"/>
      <c r="L82" s="43"/>
      <c r="M82" s="574">
        <f>M15</f>
        <v>4.8374512353706098</v>
      </c>
      <c r="N82" s="574">
        <f>N15</f>
        <v>4.7951235370611176</v>
      </c>
      <c r="O82" s="327">
        <f t="shared" ref="O82:AH82" si="72">O83/O81</f>
        <v>4.240881117197457</v>
      </c>
      <c r="P82" s="327">
        <f t="shared" si="72"/>
        <v>4.2037734074219797</v>
      </c>
      <c r="Q82" s="327">
        <f t="shared" si="72"/>
        <v>4.1669903901070366</v>
      </c>
      <c r="R82" s="327">
        <f t="shared" si="72"/>
        <v>4.1305292241936007</v>
      </c>
      <c r="S82" s="327">
        <f t="shared" si="72"/>
        <v>4.094387093481906</v>
      </c>
      <c r="T82" s="327">
        <f t="shared" si="72"/>
        <v>4.0585612064139402</v>
      </c>
      <c r="U82" s="327">
        <f t="shared" si="72"/>
        <v>4.023048795857818</v>
      </c>
      <c r="V82" s="327">
        <f t="shared" si="72"/>
        <v>3.9878471188940621</v>
      </c>
      <c r="W82" s="327">
        <f t="shared" si="72"/>
        <v>3.9529534566037388</v>
      </c>
      <c r="X82" s="327">
        <f t="shared" si="72"/>
        <v>3.9183651138584565</v>
      </c>
      <c r="Y82" s="327">
        <f t="shared" si="72"/>
        <v>3.8840794191121946</v>
      </c>
      <c r="Z82" s="327">
        <f t="shared" si="72"/>
        <v>3.8500937241949629</v>
      </c>
      <c r="AA82" s="327">
        <f t="shared" si="72"/>
        <v>3.8164054041082567</v>
      </c>
      <c r="AB82" s="327">
        <f t="shared" si="72"/>
        <v>3.7830118568223101</v>
      </c>
      <c r="AC82" s="327">
        <f t="shared" si="72"/>
        <v>3.7499105030751143</v>
      </c>
      <c r="AD82" s="327">
        <f t="shared" si="72"/>
        <v>3.717098786173207</v>
      </c>
      <c r="AE82" s="327">
        <f t="shared" si="72"/>
        <v>3.6845741717941918</v>
      </c>
      <c r="AF82" s="327">
        <f t="shared" si="72"/>
        <v>3.6523341477909925</v>
      </c>
      <c r="AG82" s="327">
        <f t="shared" si="72"/>
        <v>3.6203762239978219</v>
      </c>
      <c r="AH82" s="327">
        <f t="shared" si="72"/>
        <v>3.5886979320378414</v>
      </c>
      <c r="AI82" s="327">
        <f t="shared" ref="AI82:AS82" si="73">AI83/AI81</f>
        <v>3.5572968251325099</v>
      </c>
      <c r="AJ82" s="327">
        <f t="shared" si="73"/>
        <v>3.5572968251325094</v>
      </c>
      <c r="AK82" s="327">
        <f t="shared" si="73"/>
        <v>3.5572968251325099</v>
      </c>
      <c r="AL82" s="327">
        <f t="shared" si="73"/>
        <v>3.5572968251325099</v>
      </c>
      <c r="AM82" s="327">
        <f t="shared" si="73"/>
        <v>3.5572968251325103</v>
      </c>
      <c r="AN82" s="327">
        <f t="shared" si="73"/>
        <v>3.5572968251325103</v>
      </c>
      <c r="AO82" s="327">
        <f t="shared" si="73"/>
        <v>3.5572968251325099</v>
      </c>
      <c r="AP82" s="327">
        <f t="shared" si="73"/>
        <v>3.5572968251325108</v>
      </c>
      <c r="AQ82" s="327">
        <f t="shared" si="73"/>
        <v>3.5572968251325099</v>
      </c>
      <c r="AR82" s="327">
        <f t="shared" si="73"/>
        <v>3.5572968251325103</v>
      </c>
      <c r="AS82" s="327">
        <f t="shared" si="73"/>
        <v>3.5572968251325108</v>
      </c>
      <c r="AT82" s="43"/>
      <c r="AU82" s="41"/>
    </row>
    <row r="83" spans="1:47" x14ac:dyDescent="0.3">
      <c r="A83" s="41"/>
      <c r="B83" s="300">
        <f>B82+1</f>
        <v>36</v>
      </c>
      <c r="C83" s="679" t="s">
        <v>376</v>
      </c>
      <c r="D83" s="680"/>
      <c r="E83" s="680"/>
      <c r="F83" s="680"/>
      <c r="G83" s="681"/>
      <c r="H83" s="317"/>
      <c r="I83" s="313" t="s">
        <v>175</v>
      </c>
      <c r="J83" s="302"/>
      <c r="K83" s="302"/>
      <c r="L83" s="302"/>
      <c r="M83" s="321">
        <f>M16</f>
        <v>74399.999999999985</v>
      </c>
      <c r="N83" s="321">
        <f>'2.BilantNOPRO'!H20*1000/'1.Input'!$K$63</f>
        <v>64419</v>
      </c>
      <c r="O83" s="321">
        <f>'2.BilantNOPRO'!I20*1000/'1.Input'!$K$63</f>
        <v>62516.530018949932</v>
      </c>
      <c r="P83" s="321">
        <f>'2.BilantNOPRO'!J20*1000/'1.Input'!$K$63</f>
        <v>60672.051809986646</v>
      </c>
      <c r="Q83" s="321">
        <f>'2.BilantNOPRO'!K20*1000/'1.Input'!$K$63</f>
        <v>58883.744992120221</v>
      </c>
      <c r="R83" s="321">
        <f>'2.BilantNOPRO'!L20*1000/'1.Input'!$K$63</f>
        <v>57149.847813585722</v>
      </c>
      <c r="S83" s="321">
        <f>'2.BilantNOPRO'!M20*1000/'1.Input'!$K$63</f>
        <v>55468.65522279359</v>
      </c>
      <c r="T83" s="321">
        <f>'2.BilantNOPRO'!N20*1000/'1.Input'!$K$63</f>
        <v>54433.471444698211</v>
      </c>
      <c r="U83" s="321">
        <f>'2.BilantNOPRO'!O20*1000/'1.Input'!$K$63</f>
        <v>53417.606783861534</v>
      </c>
      <c r="V83" s="321">
        <f>'2.BilantNOPRO'!P20*1000/'1.Input'!$K$63</f>
        <v>52420.700697257715</v>
      </c>
      <c r="W83" s="321">
        <f>'2.BilantNOPRO'!Q20*1000/'1.Input'!$K$63</f>
        <v>51442.399370495143</v>
      </c>
      <c r="X83" s="321">
        <f>'2.BilantNOPRO'!R20*1000/'1.Input'!$K$63</f>
        <v>50482.355592243279</v>
      </c>
      <c r="Y83" s="321">
        <f>'2.BilantNOPRO'!S20*1000/'1.Input'!$K$63</f>
        <v>49540.228631003025</v>
      </c>
      <c r="Z83" s="321">
        <f>'2.BilantNOPRO'!T20*1000/'1.Input'!$K$63</f>
        <v>48615.684114176933</v>
      </c>
      <c r="AA83" s="321">
        <f>'2.BilantNOPRO'!U20*1000/'1.Input'!$K$63</f>
        <v>47708.393909396102</v>
      </c>
      <c r="AB83" s="321">
        <f>'2.BilantNOPRO'!V20*1000/'1.Input'!$K$63</f>
        <v>46818.036008062008</v>
      </c>
      <c r="AC83" s="321">
        <f>'2.BilantNOPRO'!W20*1000/'1.Input'!$K$63</f>
        <v>45944.294411061543</v>
      </c>
      <c r="AD83" s="321">
        <f>'2.BilantNOPRO'!X20*1000/'1.Input'!$K$63</f>
        <v>45086.859016615104</v>
      </c>
      <c r="AE83" s="321">
        <f>'2.BilantNOPRO'!Y20*1000/'1.Input'!$K$63</f>
        <v>44245.42551021753</v>
      </c>
      <c r="AF83" s="321">
        <f>'2.BilantNOPRO'!Z20*1000/'1.Input'!$K$63</f>
        <v>43419.695256633095</v>
      </c>
      <c r="AG83" s="321">
        <f>'2.BilantNOPRO'!AA20*1000/'1.Input'!$K$63</f>
        <v>42609.375193906191</v>
      </c>
      <c r="AH83" s="321">
        <f>'2.BilantNOPRO'!AB20*1000/'1.Input'!$K$63</f>
        <v>41814.177729349918</v>
      </c>
      <c r="AI83" s="321">
        <f>'2.BilantNOPRO'!AC20*1000/'1.Input'!$K$63</f>
        <v>41033.820637475925</v>
      </c>
      <c r="AJ83" s="321">
        <f>'2.BilantNOPRO'!AD20*1000/'1.Input'!$K$63</f>
        <v>40623.482431101154</v>
      </c>
      <c r="AK83" s="321">
        <f>'2.BilantNOPRO'!AE20*1000/'1.Input'!$K$63</f>
        <v>40217.247606790152</v>
      </c>
      <c r="AL83" s="321">
        <f>'2.BilantNOPRO'!AF20*1000/'1.Input'!$K$63</f>
        <v>39815.075130722253</v>
      </c>
      <c r="AM83" s="321">
        <f>'2.BilantNOPRO'!AG20*1000/'1.Input'!$K$63</f>
        <v>39416.924379415032</v>
      </c>
      <c r="AN83" s="321">
        <f>'2.BilantNOPRO'!AH20*1000/'1.Input'!$K$63</f>
        <v>39022.755135620879</v>
      </c>
      <c r="AO83" s="321">
        <f>'2.BilantNOPRO'!AI20*1000/'1.Input'!$K$63</f>
        <v>38632.527584264666</v>
      </c>
      <c r="AP83" s="321">
        <f>'2.BilantNOPRO'!AJ20*1000/'1.Input'!$K$63</f>
        <v>38246.202308422027</v>
      </c>
      <c r="AQ83" s="321">
        <f>'2.BilantNOPRO'!AK20*1000/'1.Input'!$K$63</f>
        <v>37863.740285337801</v>
      </c>
      <c r="AR83" s="321">
        <f>'2.BilantNOPRO'!AL20*1000/'1.Input'!$K$63</f>
        <v>37485.102882484425</v>
      </c>
      <c r="AS83" s="321">
        <f>'2.BilantNOPRO'!AM20*1000/'1.Input'!$K$63</f>
        <v>37110.251853659589</v>
      </c>
      <c r="AT83" s="43"/>
      <c r="AU83" s="41"/>
    </row>
    <row r="84" spans="1:47" x14ac:dyDescent="0.3">
      <c r="A84" s="41"/>
      <c r="B84" s="300"/>
      <c r="C84" s="306"/>
      <c r="D84" s="306"/>
      <c r="E84" s="306"/>
      <c r="F84" s="306"/>
      <c r="G84" s="306"/>
      <c r="H84" s="43"/>
      <c r="I84" s="302"/>
      <c r="J84" s="302"/>
      <c r="K84" s="302"/>
      <c r="L84" s="30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1"/>
    </row>
    <row r="85" spans="1:47" x14ac:dyDescent="0.3">
      <c r="A85" s="41"/>
      <c r="C85" s="614" t="s">
        <v>378</v>
      </c>
      <c r="D85" s="614"/>
      <c r="E85" s="614"/>
      <c r="F85" s="614"/>
      <c r="G85" s="614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1"/>
    </row>
    <row r="86" spans="1:47" x14ac:dyDescent="0.3">
      <c r="A86" s="41"/>
      <c r="B86" s="300">
        <f>B83+1</f>
        <v>37</v>
      </c>
      <c r="C86" s="598" t="s">
        <v>379</v>
      </c>
      <c r="D86" s="599"/>
      <c r="E86" s="599"/>
      <c r="F86" s="599"/>
      <c r="G86" s="600"/>
      <c r="H86" s="43"/>
      <c r="I86" s="308" t="s">
        <v>175</v>
      </c>
      <c r="J86" s="43"/>
      <c r="K86" s="43"/>
      <c r="L86" s="43"/>
      <c r="M86" s="316">
        <f>M19</f>
        <v>18959</v>
      </c>
      <c r="N86" s="316">
        <f>N19</f>
        <v>20149</v>
      </c>
      <c r="O86" s="316">
        <f>'2.BilantNOPRO'!I21*1000/'1.Input'!$K$63</f>
        <v>19796.392499999998</v>
      </c>
      <c r="P86" s="316">
        <f>'2.BilantNOPRO'!J21*1000/'1.Input'!$K$63</f>
        <v>19449.955631249995</v>
      </c>
      <c r="Q86" s="316">
        <f>'2.BilantNOPRO'!K21*1000/'1.Input'!$K$63</f>
        <v>19109.581407703125</v>
      </c>
      <c r="R86" s="316">
        <f>'2.BilantNOPRO'!L21*1000/'1.Input'!$K$63</f>
        <v>18775.163733068319</v>
      </c>
      <c r="S86" s="316">
        <f>'2.BilantNOPRO'!M21*1000/'1.Input'!$K$63</f>
        <v>18446.598367739625</v>
      </c>
      <c r="T86" s="316">
        <f>'2.BilantNOPRO'!N21*1000/'1.Input'!$K$63</f>
        <v>18123.782896304183</v>
      </c>
      <c r="U86" s="316">
        <f>'2.BilantNOPRO'!O21*1000/'1.Input'!$K$63</f>
        <v>17806.616695618857</v>
      </c>
      <c r="V86" s="316">
        <f>'2.BilantNOPRO'!P21*1000/'1.Input'!$K$63</f>
        <v>17495.000903445532</v>
      </c>
      <c r="W86" s="316">
        <f>'2.BilantNOPRO'!Q21*1000/'1.Input'!$K$63</f>
        <v>17188.838387635235</v>
      </c>
      <c r="X86" s="316">
        <f>'2.BilantNOPRO'!R21*1000/'1.Input'!$K$63</f>
        <v>16888.033715851612</v>
      </c>
      <c r="Y86" s="316">
        <f>'2.BilantNOPRO'!S21*1000/'1.Input'!$K$63</f>
        <v>16888.033715851612</v>
      </c>
      <c r="Z86" s="316">
        <f>'2.BilantNOPRO'!T21*1000/'1.Input'!$K$63</f>
        <v>16888.033715851612</v>
      </c>
      <c r="AA86" s="316">
        <f>'2.BilantNOPRO'!U21*1000/'1.Input'!$K$63</f>
        <v>16888.033715851612</v>
      </c>
      <c r="AB86" s="316">
        <f>'2.BilantNOPRO'!V21*1000/'1.Input'!$K$63</f>
        <v>16888.033715851612</v>
      </c>
      <c r="AC86" s="316">
        <f>'2.BilantNOPRO'!W21*1000/'1.Input'!$K$63</f>
        <v>16888.033715851612</v>
      </c>
      <c r="AD86" s="316">
        <f>'2.BilantNOPRO'!X21*1000/'1.Input'!$K$63</f>
        <v>16888.033715851612</v>
      </c>
      <c r="AE86" s="316">
        <f>'2.BilantNOPRO'!Y21*1000/'1.Input'!$K$63</f>
        <v>16888.033715851612</v>
      </c>
      <c r="AF86" s="316">
        <f>'2.BilantNOPRO'!Z21*1000/'1.Input'!$K$63</f>
        <v>16888.033715851612</v>
      </c>
      <c r="AG86" s="316">
        <f>'2.BilantNOPRO'!AA21*1000/'1.Input'!$K$63</f>
        <v>16888.033715851612</v>
      </c>
      <c r="AH86" s="316">
        <f>'2.BilantNOPRO'!AB21*1000/'1.Input'!$K$63</f>
        <v>16888.033715851612</v>
      </c>
      <c r="AI86" s="316">
        <f>'2.BilantNOPRO'!AC21*1000/'1.Input'!$K$63</f>
        <v>16888.033715851612</v>
      </c>
      <c r="AJ86" s="316">
        <f>'2.BilantNOPRO'!AD21*1000/'1.Input'!$K$63</f>
        <v>16888.033715851612</v>
      </c>
      <c r="AK86" s="316">
        <f>'2.BilantNOPRO'!AE21*1000/'1.Input'!$K$63</f>
        <v>16888.033715851612</v>
      </c>
      <c r="AL86" s="316">
        <f>'2.BilantNOPRO'!AF21*1000/'1.Input'!$K$63</f>
        <v>16888.033715851612</v>
      </c>
      <c r="AM86" s="316">
        <f>'2.BilantNOPRO'!AG21*1000/'1.Input'!$K$63</f>
        <v>16888.033715851612</v>
      </c>
      <c r="AN86" s="316">
        <f>'2.BilantNOPRO'!AH21*1000/'1.Input'!$K$63</f>
        <v>16888.033715851612</v>
      </c>
      <c r="AO86" s="316">
        <f>'2.BilantNOPRO'!AI21*1000/'1.Input'!$K$63</f>
        <v>16888.033715851612</v>
      </c>
      <c r="AP86" s="316">
        <f>'2.BilantNOPRO'!AJ21*1000/'1.Input'!$K$63</f>
        <v>16888.033715851612</v>
      </c>
      <c r="AQ86" s="316">
        <f>'2.BilantNOPRO'!AK21*1000/'1.Input'!$K$63</f>
        <v>16888.033715851612</v>
      </c>
      <c r="AR86" s="316">
        <f>'2.BilantNOPRO'!AL21*1000/'1.Input'!$K$63</f>
        <v>16888.033715851612</v>
      </c>
      <c r="AS86" s="316">
        <f>'2.BilantNOPRO'!AM21*1000/'1.Input'!$K$63</f>
        <v>16888.033715851612</v>
      </c>
      <c r="AT86" s="43"/>
      <c r="AU86" s="41"/>
    </row>
    <row r="87" spans="1:47" x14ac:dyDescent="0.3">
      <c r="A87" s="41"/>
      <c r="B87" s="300">
        <f>B86+1</f>
        <v>38</v>
      </c>
      <c r="C87" s="679" t="s">
        <v>380</v>
      </c>
      <c r="D87" s="680"/>
      <c r="E87" s="680"/>
      <c r="F87" s="680"/>
      <c r="G87" s="681"/>
      <c r="H87" s="317"/>
      <c r="I87" s="313" t="s">
        <v>175</v>
      </c>
      <c r="J87" s="302"/>
      <c r="K87" s="302"/>
      <c r="L87" s="302"/>
      <c r="M87" s="321">
        <f>M86</f>
        <v>18959</v>
      </c>
      <c r="N87" s="321">
        <f t="shared" ref="N87:AH87" si="74">N86</f>
        <v>20149</v>
      </c>
      <c r="O87" s="321">
        <f t="shared" si="74"/>
        <v>19796.392499999998</v>
      </c>
      <c r="P87" s="321">
        <f t="shared" si="74"/>
        <v>19449.955631249995</v>
      </c>
      <c r="Q87" s="321">
        <f t="shared" si="74"/>
        <v>19109.581407703125</v>
      </c>
      <c r="R87" s="321">
        <f t="shared" si="74"/>
        <v>18775.163733068319</v>
      </c>
      <c r="S87" s="321">
        <f t="shared" si="74"/>
        <v>18446.598367739625</v>
      </c>
      <c r="T87" s="321">
        <f t="shared" si="74"/>
        <v>18123.782896304183</v>
      </c>
      <c r="U87" s="321">
        <f t="shared" si="74"/>
        <v>17806.616695618857</v>
      </c>
      <c r="V87" s="321">
        <f t="shared" si="74"/>
        <v>17495.000903445532</v>
      </c>
      <c r="W87" s="321">
        <f t="shared" si="74"/>
        <v>17188.838387635235</v>
      </c>
      <c r="X87" s="321">
        <f t="shared" si="74"/>
        <v>16888.033715851612</v>
      </c>
      <c r="Y87" s="321">
        <f t="shared" si="74"/>
        <v>16888.033715851612</v>
      </c>
      <c r="Z87" s="321">
        <f t="shared" si="74"/>
        <v>16888.033715851612</v>
      </c>
      <c r="AA87" s="321">
        <f t="shared" si="74"/>
        <v>16888.033715851612</v>
      </c>
      <c r="AB87" s="321">
        <f t="shared" si="74"/>
        <v>16888.033715851612</v>
      </c>
      <c r="AC87" s="321">
        <f t="shared" si="74"/>
        <v>16888.033715851612</v>
      </c>
      <c r="AD87" s="321">
        <f t="shared" si="74"/>
        <v>16888.033715851612</v>
      </c>
      <c r="AE87" s="321">
        <f t="shared" si="74"/>
        <v>16888.033715851612</v>
      </c>
      <c r="AF87" s="321">
        <f t="shared" si="74"/>
        <v>16888.033715851612</v>
      </c>
      <c r="AG87" s="321">
        <f t="shared" si="74"/>
        <v>16888.033715851612</v>
      </c>
      <c r="AH87" s="321">
        <f t="shared" si="74"/>
        <v>16888.033715851612</v>
      </c>
      <c r="AI87" s="321">
        <f t="shared" ref="AI87:AS87" si="75">AI86</f>
        <v>16888.033715851612</v>
      </c>
      <c r="AJ87" s="321">
        <f t="shared" si="75"/>
        <v>16888.033715851612</v>
      </c>
      <c r="AK87" s="321">
        <f t="shared" si="75"/>
        <v>16888.033715851612</v>
      </c>
      <c r="AL87" s="321">
        <f t="shared" si="75"/>
        <v>16888.033715851612</v>
      </c>
      <c r="AM87" s="321">
        <f t="shared" si="75"/>
        <v>16888.033715851612</v>
      </c>
      <c r="AN87" s="321">
        <f t="shared" si="75"/>
        <v>16888.033715851612</v>
      </c>
      <c r="AO87" s="321">
        <f t="shared" si="75"/>
        <v>16888.033715851612</v>
      </c>
      <c r="AP87" s="321">
        <f t="shared" si="75"/>
        <v>16888.033715851612</v>
      </c>
      <c r="AQ87" s="321">
        <f t="shared" si="75"/>
        <v>16888.033715851612</v>
      </c>
      <c r="AR87" s="321">
        <f t="shared" si="75"/>
        <v>16888.033715851612</v>
      </c>
      <c r="AS87" s="321">
        <f t="shared" si="75"/>
        <v>16888.033715851612</v>
      </c>
      <c r="AT87" s="43"/>
      <c r="AU87" s="41"/>
    </row>
    <row r="88" spans="1:47" x14ac:dyDescent="0.3">
      <c r="A88" s="41"/>
      <c r="B88" s="300"/>
      <c r="C88" s="306"/>
      <c r="D88" s="306"/>
      <c r="E88" s="306"/>
      <c r="F88" s="306"/>
      <c r="G88" s="306"/>
      <c r="H88" s="43"/>
      <c r="I88" s="302"/>
      <c r="J88" s="302"/>
      <c r="K88" s="302"/>
      <c r="L88" s="30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1"/>
    </row>
    <row r="89" spans="1:47" x14ac:dyDescent="0.3">
      <c r="A89" s="41"/>
      <c r="C89" s="614" t="s">
        <v>381</v>
      </c>
      <c r="D89" s="614"/>
      <c r="E89" s="614"/>
      <c r="F89" s="614"/>
      <c r="G89" s="614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1"/>
    </row>
    <row r="90" spans="1:47" x14ac:dyDescent="0.3">
      <c r="A90" s="41"/>
      <c r="B90" s="300">
        <f>B87+1</f>
        <v>39</v>
      </c>
      <c r="C90" s="598" t="s">
        <v>382</v>
      </c>
      <c r="D90" s="599"/>
      <c r="E90" s="599"/>
      <c r="F90" s="599"/>
      <c r="G90" s="600"/>
      <c r="H90" s="43"/>
      <c r="I90" s="315" t="s">
        <v>175</v>
      </c>
      <c r="J90" s="43"/>
      <c r="K90" s="43"/>
      <c r="L90" s="43"/>
      <c r="M90" s="316">
        <f>M83+M87</f>
        <v>93358.999999999985</v>
      </c>
      <c r="N90" s="316">
        <f t="shared" ref="N90:AH90" si="76">N83+N87</f>
        <v>84568</v>
      </c>
      <c r="O90" s="316">
        <f t="shared" si="76"/>
        <v>82312.922518949927</v>
      </c>
      <c r="P90" s="316">
        <f t="shared" si="76"/>
        <v>80122.007441236638</v>
      </c>
      <c r="Q90" s="316">
        <f t="shared" si="76"/>
        <v>77993.326399823345</v>
      </c>
      <c r="R90" s="316">
        <f t="shared" si="76"/>
        <v>75925.011546654045</v>
      </c>
      <c r="S90" s="316">
        <f t="shared" si="76"/>
        <v>73915.253590533219</v>
      </c>
      <c r="T90" s="316">
        <f t="shared" si="76"/>
        <v>72557.254341002394</v>
      </c>
      <c r="U90" s="316">
        <f t="shared" si="76"/>
        <v>71224.223479480395</v>
      </c>
      <c r="V90" s="316">
        <f t="shared" si="76"/>
        <v>69915.701600703251</v>
      </c>
      <c r="W90" s="316">
        <f t="shared" si="76"/>
        <v>68631.237758130374</v>
      </c>
      <c r="X90" s="316">
        <f t="shared" si="76"/>
        <v>67370.389308094891</v>
      </c>
      <c r="Y90" s="316">
        <f t="shared" si="76"/>
        <v>66428.262346854637</v>
      </c>
      <c r="Z90" s="316">
        <f t="shared" si="76"/>
        <v>65503.717830028545</v>
      </c>
      <c r="AA90" s="316">
        <f t="shared" si="76"/>
        <v>64596.427625247714</v>
      </c>
      <c r="AB90" s="316">
        <f t="shared" si="76"/>
        <v>63706.069723913621</v>
      </c>
      <c r="AC90" s="316">
        <f t="shared" si="76"/>
        <v>62832.328126913155</v>
      </c>
      <c r="AD90" s="316">
        <f t="shared" si="76"/>
        <v>61974.892732466717</v>
      </c>
      <c r="AE90" s="316">
        <f t="shared" si="76"/>
        <v>61133.459226069142</v>
      </c>
      <c r="AF90" s="316">
        <f t="shared" si="76"/>
        <v>60307.728972484707</v>
      </c>
      <c r="AG90" s="316">
        <f t="shared" si="76"/>
        <v>59497.408909757803</v>
      </c>
      <c r="AH90" s="316">
        <f t="shared" si="76"/>
        <v>58702.21144520153</v>
      </c>
      <c r="AI90" s="316">
        <f t="shared" ref="AI90:AS90" si="77">AI83+AI87</f>
        <v>57921.854353327537</v>
      </c>
      <c r="AJ90" s="316">
        <f t="shared" si="77"/>
        <v>57511.516146952767</v>
      </c>
      <c r="AK90" s="316">
        <f t="shared" si="77"/>
        <v>57105.281322641764</v>
      </c>
      <c r="AL90" s="316">
        <f t="shared" si="77"/>
        <v>56703.108846573865</v>
      </c>
      <c r="AM90" s="316">
        <f t="shared" si="77"/>
        <v>56304.958095266644</v>
      </c>
      <c r="AN90" s="316">
        <f t="shared" si="77"/>
        <v>55910.788851472491</v>
      </c>
      <c r="AO90" s="316">
        <f t="shared" si="77"/>
        <v>55520.561300116278</v>
      </c>
      <c r="AP90" s="316">
        <f t="shared" si="77"/>
        <v>55134.236024273639</v>
      </c>
      <c r="AQ90" s="316">
        <f t="shared" si="77"/>
        <v>54751.774001189413</v>
      </c>
      <c r="AR90" s="316">
        <f t="shared" si="77"/>
        <v>54373.136598336037</v>
      </c>
      <c r="AS90" s="316">
        <f t="shared" si="77"/>
        <v>53998.285569511201</v>
      </c>
      <c r="AT90" s="43"/>
      <c r="AU90" s="41"/>
    </row>
    <row r="91" spans="1:47" x14ac:dyDescent="0.3">
      <c r="A91" s="41"/>
      <c r="B91" s="601">
        <f>B90+1</f>
        <v>40</v>
      </c>
      <c r="C91" s="602" t="s">
        <v>383</v>
      </c>
      <c r="D91" s="603"/>
      <c r="E91" s="603"/>
      <c r="F91" s="603"/>
      <c r="G91" s="604"/>
      <c r="H91" s="317"/>
      <c r="I91" s="315" t="s">
        <v>15</v>
      </c>
      <c r="J91" s="318"/>
      <c r="K91" s="318"/>
      <c r="L91" s="318"/>
      <c r="M91" s="328">
        <f>M24</f>
        <v>43.349337630021402</v>
      </c>
      <c r="N91" s="328">
        <f>N24</f>
        <v>44.180971342816001</v>
      </c>
      <c r="O91" s="328">
        <f>'2.BilantNOPRO'!I42</f>
        <v>44.228251609885405</v>
      </c>
      <c r="P91" s="328">
        <f>'2.BilantNOPRO'!J42</f>
        <v>44.894700518080782</v>
      </c>
      <c r="Q91" s="328">
        <f>'2.BilantNOPRO'!K42</f>
        <v>45.561741400132995</v>
      </c>
      <c r="R91" s="328">
        <f>'2.BilantNOPRO'!L42</f>
        <v>46.229130574204305</v>
      </c>
      <c r="S91" s="328">
        <f>'2.BilantNOPRO'!M42</f>
        <v>46.896624835369394</v>
      </c>
      <c r="T91" s="328">
        <f>'2.BilantNOPRO'!N42</f>
        <v>47.358672848647828</v>
      </c>
      <c r="U91" s="328">
        <f>'2.BilantNOPRO'!O42</f>
        <v>47.821167127841896</v>
      </c>
      <c r="V91" s="328">
        <f>'2.BilantNOPRO'!P42</f>
        <v>48.284028699332865</v>
      </c>
      <c r="W91" s="328">
        <f>'2.BilantNOPRO'!Q42</f>
        <v>48.74717833990767</v>
      </c>
      <c r="X91" s="328">
        <f>'2.BilantNOPRO'!R42</f>
        <v>49.210536630880199</v>
      </c>
      <c r="Y91" s="328">
        <f>'2.BilantNOPRO'!S42</f>
        <v>49.562556926282276</v>
      </c>
      <c r="Z91" s="328">
        <f>'2.BilantNOPRO'!T42</f>
        <v>49.912938399850148</v>
      </c>
      <c r="AA91" s="328">
        <f>'2.BilantNOPRO'!U42</f>
        <v>50.261630735321745</v>
      </c>
      <c r="AB91" s="328">
        <f>'2.BilantNOPRO'!V42</f>
        <v>50.608584696867865</v>
      </c>
      <c r="AC91" s="328">
        <f>'2.BilantNOPRO'!W42</f>
        <v>50.953752152110653</v>
      </c>
      <c r="AD91" s="328">
        <f>'2.BilantNOPRO'!X42</f>
        <v>51.297086093719415</v>
      </c>
      <c r="AE91" s="328">
        <f>'2.BilantNOPRO'!Y42</f>
        <v>51.638540659572946</v>
      </c>
      <c r="AF91" s="328">
        <f>'2.BilantNOPRO'!Z42</f>
        <v>51.978071151480066</v>
      </c>
      <c r="AG91" s="328">
        <f>'2.BilantNOPRO'!AA42</f>
        <v>52.315634052453262</v>
      </c>
      <c r="AH91" s="328">
        <f>'2.BilantNOPRO'!AB42</f>
        <v>52.651187042532904</v>
      </c>
      <c r="AI91" s="328">
        <f>'2.BilantNOPRO'!AC42</f>
        <v>52.984689013162921</v>
      </c>
      <c r="AJ91" s="328">
        <f>'2.BilantNOPRO'!AD42</f>
        <v>53.16175621785306</v>
      </c>
      <c r="AK91" s="328">
        <f>'2.BilantNOPRO'!AE42</f>
        <v>53.338222393593526</v>
      </c>
      <c r="AL91" s="328">
        <f>'2.BilantNOPRO'!AF42</f>
        <v>53.514081728621726</v>
      </c>
      <c r="AM91" s="328">
        <f>'2.BilantNOPRO'!AG42</f>
        <v>53.689328512160579</v>
      </c>
      <c r="AN91" s="328">
        <f>'2.BilantNOPRO'!AH42</f>
        <v>53.863957134801879</v>
      </c>
      <c r="AO91" s="328">
        <f>'2.BilantNOPRO'!AI42</f>
        <v>54.037962088857206</v>
      </c>
      <c r="AP91" s="328">
        <f>'2.BilantNOPRO'!AJ42</f>
        <v>54.21133796867646</v>
      </c>
      <c r="AQ91" s="328">
        <f>'2.BilantNOPRO'!AK42</f>
        <v>54.384079470934068</v>
      </c>
      <c r="AR91" s="328">
        <f>'2.BilantNOPRO'!AL42</f>
        <v>54.556181394883367</v>
      </c>
      <c r="AS91" s="328">
        <f>'2.BilantNOPRO'!AM42</f>
        <v>54.72763864257913</v>
      </c>
      <c r="AT91" s="43"/>
      <c r="AU91" s="41"/>
    </row>
    <row r="92" spans="1:47" x14ac:dyDescent="0.3">
      <c r="A92" s="41"/>
      <c r="B92" s="601"/>
      <c r="C92" s="605"/>
      <c r="D92" s="606"/>
      <c r="E92" s="606"/>
      <c r="F92" s="606"/>
      <c r="G92" s="607"/>
      <c r="H92" s="43"/>
      <c r="I92" s="315" t="s">
        <v>175</v>
      </c>
      <c r="J92" s="302"/>
      <c r="K92" s="302"/>
      <c r="L92" s="302"/>
      <c r="M92" s="319">
        <f>'2.BilantNOPRO'!G43*1000/'1.Input'!$K$63</f>
        <v>66722</v>
      </c>
      <c r="N92" s="319">
        <f>'2.BilantNOPRO'!H43*1000/'1.Input'!$K$63</f>
        <v>65275.999999999993</v>
      </c>
      <c r="O92" s="319">
        <f>'2.BilantNOPRO'!I43*1000/'1.Input'!$K$63</f>
        <v>65275.999999999993</v>
      </c>
      <c r="P92" s="319">
        <f>'2.BilantNOPRO'!J43*1000/'1.Input'!$K$63</f>
        <v>65275.999999999993</v>
      </c>
      <c r="Q92" s="319">
        <f>'2.BilantNOPRO'!K43*1000/'1.Input'!$K$63</f>
        <v>65275.999999999993</v>
      </c>
      <c r="R92" s="319">
        <f>'2.BilantNOPRO'!L43*1000/'1.Input'!$K$63</f>
        <v>65275.999999999993</v>
      </c>
      <c r="S92" s="319">
        <f>'2.BilantNOPRO'!M43*1000/'1.Input'!$K$63</f>
        <v>65275.999999999993</v>
      </c>
      <c r="T92" s="319">
        <f>'2.BilantNOPRO'!N43*1000/'1.Input'!$K$63</f>
        <v>65275.999999999993</v>
      </c>
      <c r="U92" s="319">
        <f>'2.BilantNOPRO'!O43*1000/'1.Input'!$K$63</f>
        <v>65275.999999999993</v>
      </c>
      <c r="V92" s="319">
        <f>'2.BilantNOPRO'!P43*1000/'1.Input'!$K$63</f>
        <v>65275.999999999993</v>
      </c>
      <c r="W92" s="319">
        <f>'2.BilantNOPRO'!Q43*1000/'1.Input'!$K$63</f>
        <v>65275.999999999993</v>
      </c>
      <c r="X92" s="319">
        <f>'2.BilantNOPRO'!R43*1000/'1.Input'!$K$63</f>
        <v>65275.999999999993</v>
      </c>
      <c r="Y92" s="319">
        <f>'2.BilantNOPRO'!S43*1000/'1.Input'!$K$63</f>
        <v>65275.999999999993</v>
      </c>
      <c r="Z92" s="319">
        <f>'2.BilantNOPRO'!T43*1000/'1.Input'!$K$63</f>
        <v>65275.999999999993</v>
      </c>
      <c r="AA92" s="319">
        <f>'2.BilantNOPRO'!U43*1000/'1.Input'!$K$63</f>
        <v>65275.999999999993</v>
      </c>
      <c r="AB92" s="319">
        <f>'2.BilantNOPRO'!V43*1000/'1.Input'!$K$63</f>
        <v>65275.999999999993</v>
      </c>
      <c r="AC92" s="319">
        <f>'2.BilantNOPRO'!W43*1000/'1.Input'!$K$63</f>
        <v>65275.999999999993</v>
      </c>
      <c r="AD92" s="319">
        <f>'2.BilantNOPRO'!X43*1000/'1.Input'!$K$63</f>
        <v>65275.999999999993</v>
      </c>
      <c r="AE92" s="319">
        <f>'2.BilantNOPRO'!Y43*1000/'1.Input'!$K$63</f>
        <v>65275.999999999993</v>
      </c>
      <c r="AF92" s="319">
        <f>'2.BilantNOPRO'!Z43*1000/'1.Input'!$K$63</f>
        <v>65275.999999999993</v>
      </c>
      <c r="AG92" s="319">
        <f>'2.BilantNOPRO'!AA43*1000/'1.Input'!$K$63</f>
        <v>65275.999999999993</v>
      </c>
      <c r="AH92" s="319">
        <f>'2.BilantNOPRO'!AB43*1000/'1.Input'!$K$63</f>
        <v>65275.999999999993</v>
      </c>
      <c r="AI92" s="319">
        <f>'2.BilantNOPRO'!AC43*1000/'1.Input'!$K$63</f>
        <v>65275.999999999993</v>
      </c>
      <c r="AJ92" s="319">
        <f>'2.BilantNOPRO'!AD43*1000/'1.Input'!$K$63</f>
        <v>65275.999999999993</v>
      </c>
      <c r="AK92" s="319">
        <f>'2.BilantNOPRO'!AE43*1000/'1.Input'!$K$63</f>
        <v>65275.999999999993</v>
      </c>
      <c r="AL92" s="319">
        <f>'2.BilantNOPRO'!AF43*1000/'1.Input'!$K$63</f>
        <v>65275.999999999993</v>
      </c>
      <c r="AM92" s="319">
        <f>'2.BilantNOPRO'!AG43*1000/'1.Input'!$K$63</f>
        <v>65275.999999999993</v>
      </c>
      <c r="AN92" s="319">
        <f>'2.BilantNOPRO'!AH43*1000/'1.Input'!$K$63</f>
        <v>65275.999999999993</v>
      </c>
      <c r="AO92" s="319">
        <f>'2.BilantNOPRO'!AI43*1000/'1.Input'!$K$63</f>
        <v>65275.999999999993</v>
      </c>
      <c r="AP92" s="319">
        <f>'2.BilantNOPRO'!AJ43*1000/'1.Input'!$K$63</f>
        <v>65275.999999999993</v>
      </c>
      <c r="AQ92" s="319">
        <f>'2.BilantNOPRO'!AK43*1000/'1.Input'!$K$63</f>
        <v>65275.999999999993</v>
      </c>
      <c r="AR92" s="319">
        <f>'2.BilantNOPRO'!AL43*1000/'1.Input'!$K$63</f>
        <v>65275.999999999993</v>
      </c>
      <c r="AS92" s="319">
        <f>'2.BilantNOPRO'!AM43*1000/'1.Input'!$K$63</f>
        <v>65275.999999999993</v>
      </c>
      <c r="AT92" s="43"/>
      <c r="AU92" s="41"/>
    </row>
    <row r="93" spans="1:47" x14ac:dyDescent="0.3">
      <c r="A93" s="41"/>
      <c r="B93" s="300">
        <f>B91+1</f>
        <v>41</v>
      </c>
      <c r="C93" s="679" t="s">
        <v>384</v>
      </c>
      <c r="D93" s="680"/>
      <c r="E93" s="680"/>
      <c r="F93" s="680"/>
      <c r="G93" s="681"/>
      <c r="H93" s="317"/>
      <c r="I93" s="313" t="s">
        <v>175</v>
      </c>
      <c r="J93" s="302"/>
      <c r="K93" s="302"/>
      <c r="L93" s="302"/>
      <c r="M93" s="321">
        <f>M90+M92</f>
        <v>160081</v>
      </c>
      <c r="N93" s="321">
        <f t="shared" ref="N93:AH93" si="78">N90+N92</f>
        <v>149844</v>
      </c>
      <c r="O93" s="321">
        <f t="shared" si="78"/>
        <v>147588.92251894993</v>
      </c>
      <c r="P93" s="321">
        <f t="shared" si="78"/>
        <v>145398.00744123664</v>
      </c>
      <c r="Q93" s="321">
        <f t="shared" si="78"/>
        <v>143269.32639982333</v>
      </c>
      <c r="R93" s="321">
        <f t="shared" si="78"/>
        <v>141201.01154665404</v>
      </c>
      <c r="S93" s="321">
        <f t="shared" si="78"/>
        <v>139191.25359053322</v>
      </c>
      <c r="T93" s="321">
        <f t="shared" si="78"/>
        <v>137833.25434100238</v>
      </c>
      <c r="U93" s="321">
        <f t="shared" si="78"/>
        <v>136500.2234794804</v>
      </c>
      <c r="V93" s="321">
        <f t="shared" si="78"/>
        <v>135191.70160070324</v>
      </c>
      <c r="W93" s="321">
        <f t="shared" si="78"/>
        <v>133907.23775813036</v>
      </c>
      <c r="X93" s="321">
        <f t="shared" si="78"/>
        <v>132646.38930809489</v>
      </c>
      <c r="Y93" s="321">
        <f t="shared" si="78"/>
        <v>131704.26234685464</v>
      </c>
      <c r="Z93" s="321">
        <f t="shared" si="78"/>
        <v>130779.71783002853</v>
      </c>
      <c r="AA93" s="321">
        <f t="shared" si="78"/>
        <v>129872.42762524771</v>
      </c>
      <c r="AB93" s="321">
        <f t="shared" si="78"/>
        <v>128982.06972391362</v>
      </c>
      <c r="AC93" s="321">
        <f t="shared" si="78"/>
        <v>128108.32812691314</v>
      </c>
      <c r="AD93" s="321">
        <f t="shared" si="78"/>
        <v>127250.89273246672</v>
      </c>
      <c r="AE93" s="321">
        <f t="shared" si="78"/>
        <v>126409.45922606913</v>
      </c>
      <c r="AF93" s="321">
        <f t="shared" si="78"/>
        <v>125583.72897248471</v>
      </c>
      <c r="AG93" s="321">
        <f t="shared" si="78"/>
        <v>124773.4089097578</v>
      </c>
      <c r="AH93" s="321">
        <f t="shared" si="78"/>
        <v>123978.21144520152</v>
      </c>
      <c r="AI93" s="321">
        <f t="shared" ref="AI93:AS93" si="79">AI90+AI92</f>
        <v>123197.85435332754</v>
      </c>
      <c r="AJ93" s="321">
        <f t="shared" si="79"/>
        <v>122787.51614695275</v>
      </c>
      <c r="AK93" s="321">
        <f t="shared" si="79"/>
        <v>122381.28132264176</v>
      </c>
      <c r="AL93" s="321">
        <f t="shared" si="79"/>
        <v>121979.10884657386</v>
      </c>
      <c r="AM93" s="321">
        <f t="shared" si="79"/>
        <v>121580.95809526663</v>
      </c>
      <c r="AN93" s="321">
        <f t="shared" si="79"/>
        <v>121186.78885147249</v>
      </c>
      <c r="AO93" s="321">
        <f t="shared" si="79"/>
        <v>120796.56130011627</v>
      </c>
      <c r="AP93" s="321">
        <f t="shared" si="79"/>
        <v>120410.23602427363</v>
      </c>
      <c r="AQ93" s="321">
        <f t="shared" si="79"/>
        <v>120027.77400118941</v>
      </c>
      <c r="AR93" s="321">
        <f t="shared" si="79"/>
        <v>119649.13659833603</v>
      </c>
      <c r="AS93" s="321">
        <f t="shared" si="79"/>
        <v>119274.28556951119</v>
      </c>
      <c r="AT93" s="43"/>
      <c r="AU93" s="41"/>
    </row>
    <row r="94" spans="1:47" x14ac:dyDescent="0.3">
      <c r="A94" s="41"/>
      <c r="B94" s="300"/>
      <c r="C94" s="329"/>
      <c r="D94" s="329"/>
      <c r="E94" s="329"/>
      <c r="F94" s="329"/>
      <c r="G94" s="329"/>
      <c r="H94" s="317"/>
      <c r="I94" s="330"/>
      <c r="J94" s="302"/>
      <c r="K94" s="302"/>
      <c r="L94" s="302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43"/>
      <c r="AU94" s="41"/>
    </row>
    <row r="95" spans="1:47" x14ac:dyDescent="0.3">
      <c r="A95" s="41"/>
      <c r="B95" s="300"/>
      <c r="C95" s="696" t="s">
        <v>385</v>
      </c>
      <c r="D95" s="696"/>
      <c r="E95" s="696"/>
      <c r="F95" s="696"/>
      <c r="G95" s="696"/>
      <c r="H95" s="317"/>
      <c r="I95" s="330"/>
      <c r="J95" s="302"/>
      <c r="K95" s="302"/>
      <c r="L95" s="302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43"/>
      <c r="AU95" s="41"/>
    </row>
    <row r="96" spans="1:47" x14ac:dyDescent="0.3">
      <c r="A96" s="41"/>
      <c r="B96" s="300">
        <f>B93+1</f>
        <v>42</v>
      </c>
      <c r="C96" s="598" t="s">
        <v>386</v>
      </c>
      <c r="D96" s="599"/>
      <c r="E96" s="599"/>
      <c r="F96" s="599"/>
      <c r="G96" s="600"/>
      <c r="H96" s="43"/>
      <c r="I96" s="315" t="s">
        <v>359</v>
      </c>
      <c r="J96" s="302"/>
      <c r="K96" s="302"/>
      <c r="L96" s="302"/>
      <c r="M96" s="319">
        <f>M29</f>
        <v>222250</v>
      </c>
      <c r="N96" s="319">
        <f>N29</f>
        <v>218612</v>
      </c>
      <c r="O96" s="319">
        <f>'2.BilantNOPRO'!I46*1000</f>
        <v>215503.85528081883</v>
      </c>
      <c r="P96" s="319">
        <f>'2.BilantNOPRO'!J46*1000</f>
        <v>212293.33214423928</v>
      </c>
      <c r="Q96" s="319">
        <f>'2.BilantNOPRO'!K46*1000</f>
        <v>209174.00551977311</v>
      </c>
      <c r="R96" s="319">
        <f>'2.BilantNOPRO'!L46*1000</f>
        <v>206143.13830023585</v>
      </c>
      <c r="S96" s="319">
        <f>'2.BilantNOPRO'!M46*1000</f>
        <v>203198.07918649551</v>
      </c>
      <c r="T96" s="319">
        <f>'2.BilantNOPRO'!N46*1000</f>
        <v>201208.09424621804</v>
      </c>
      <c r="U96" s="319">
        <f>'2.BilantNOPRO'!O46*1000</f>
        <v>199254.69748236091</v>
      </c>
      <c r="V96" s="319">
        <f>'2.BilantNOPRO'!P46*1000</f>
        <v>197337.21569163844</v>
      </c>
      <c r="W96" s="319">
        <f>'2.BilantNOPRO'!Q46*1000</f>
        <v>195454.98806600904</v>
      </c>
      <c r="X96" s="319">
        <f>'2.BilantNOPRO'!R46*1000</f>
        <v>193607.36596429607</v>
      </c>
      <c r="Y96" s="319">
        <f>'2.BilantNOPRO'!S46*1000</f>
        <v>192226.79195783383</v>
      </c>
      <c r="Z96" s="319">
        <f>'2.BilantNOPRO'!T46*1000</f>
        <v>190871.98291376719</v>
      </c>
      <c r="AA96" s="319">
        <f>'2.BilantNOPRO'!U46*1000</f>
        <v>189542.45799348544</v>
      </c>
      <c r="AB96" s="319">
        <f>'2.BilantNOPRO'!V46*1000</f>
        <v>188237.74533202851</v>
      </c>
      <c r="AC96" s="319">
        <f>'2.BilantNOPRO'!W46*1000</f>
        <v>186957.38187061597</v>
      </c>
      <c r="AD96" s="319">
        <f>'2.BilantNOPRO'!X46*1000</f>
        <v>185700.91319230205</v>
      </c>
      <c r="AE96" s="319">
        <f>'2.BilantNOPRO'!Y46*1000</f>
        <v>184467.89336069714</v>
      </c>
      <c r="AF96" s="319">
        <f>'2.BilantNOPRO'!Z46*1000</f>
        <v>183257.88476169962</v>
      </c>
      <c r="AG96" s="319">
        <f>'2.BilantNOPRO'!AA46*1000</f>
        <v>182070.45794818082</v>
      </c>
      <c r="AH96" s="319">
        <f>'2.BilantNOPRO'!AB46*1000</f>
        <v>180905.19148756936</v>
      </c>
      <c r="AI96" s="319">
        <f>'2.BilantNOPRO'!AC46*1000</f>
        <v>179761.67181227906</v>
      </c>
      <c r="AJ96" s="319">
        <f>'2.BilantNOPRO'!AD46*1000</f>
        <v>179160.37041142164</v>
      </c>
      <c r="AK96" s="319">
        <f>'2.BilantNOPRO'!AE46*1000</f>
        <v>178565.08202457274</v>
      </c>
      <c r="AL96" s="319">
        <f>'2.BilantNOPRO'!AF46*1000</f>
        <v>177975.7465215924</v>
      </c>
      <c r="AM96" s="319">
        <f>'2.BilantNOPRO'!AG46*1000</f>
        <v>177392.30437364182</v>
      </c>
      <c r="AN96" s="319">
        <f>'2.BilantNOPRO'!AH46*1000</f>
        <v>176814.6966471707</v>
      </c>
      <c r="AO96" s="319">
        <f>'2.BilantNOPRO'!AI46*1000</f>
        <v>176242.86499796438</v>
      </c>
      <c r="AP96" s="319">
        <f>'2.BilantNOPRO'!AJ46*1000</f>
        <v>175676.75166525008</v>
      </c>
      <c r="AQ96" s="319">
        <f>'2.BilantNOPRO'!AK46*1000</f>
        <v>175116.29946586295</v>
      </c>
      <c r="AR96" s="319">
        <f>'2.BilantNOPRO'!AL46*1000</f>
        <v>174561.45178846963</v>
      </c>
      <c r="AS96" s="319">
        <f>'2.BilantNOPRO'!AM46*1000</f>
        <v>174012.15258785029</v>
      </c>
      <c r="AT96" s="43"/>
      <c r="AU96" s="41"/>
    </row>
    <row r="97" spans="1:47" x14ac:dyDescent="0.3">
      <c r="A97" s="41"/>
      <c r="B97" s="332">
        <f>B96+1</f>
        <v>43</v>
      </c>
      <c r="C97" s="602" t="s">
        <v>387</v>
      </c>
      <c r="D97" s="603"/>
      <c r="E97" s="603"/>
      <c r="F97" s="603"/>
      <c r="G97" s="604"/>
      <c r="H97" s="317"/>
      <c r="I97" s="315" t="s">
        <v>359</v>
      </c>
      <c r="J97" s="302"/>
      <c r="K97" s="302"/>
      <c r="L97" s="302"/>
      <c r="M97" s="319">
        <f>M30</f>
        <v>20480</v>
      </c>
      <c r="N97" s="319">
        <f>N30</f>
        <v>21205.91</v>
      </c>
      <c r="O97" s="319">
        <f>'2.BilantNOPRO'!I48*1000</f>
        <v>20904.412199412971</v>
      </c>
      <c r="P97" s="319">
        <f>'2.BilantNOPRO'!J48*1000</f>
        <v>20592.983436640461</v>
      </c>
      <c r="Q97" s="319">
        <f>'2.BilantNOPRO'!K48*1000</f>
        <v>20290.400963313135</v>
      </c>
      <c r="R97" s="319">
        <f>'2.BilantNOPRO'!L48*1000</f>
        <v>19996.399273197963</v>
      </c>
      <c r="S97" s="319">
        <f>'2.BilantNOPRO'!M48*1000</f>
        <v>19710.721183657326</v>
      </c>
      <c r="T97" s="319">
        <f>'2.BilantNOPRO'!N48*1000</f>
        <v>19517.687674312554</v>
      </c>
      <c r="U97" s="319">
        <f>'2.BilantNOPRO'!O48*1000</f>
        <v>19328.203309462293</v>
      </c>
      <c r="V97" s="319">
        <f>'2.BilantNOPRO'!P48*1000</f>
        <v>19142.202786706457</v>
      </c>
      <c r="W97" s="319">
        <f>'2.BilantNOPRO'!Q48*1000</f>
        <v>18959.622006014586</v>
      </c>
      <c r="X97" s="319">
        <f>'2.BilantNOPRO'!R48*1000</f>
        <v>18780.398047572529</v>
      </c>
      <c r="Y97" s="319">
        <f>'2.BilantNOPRO'!S48*1000</f>
        <v>18646.47892085772</v>
      </c>
      <c r="Z97" s="319">
        <f>'2.BilantNOPRO'!T48*1000</f>
        <v>18515.059059845225</v>
      </c>
      <c r="AA97" s="319">
        <f>'2.BilantNOPRO'!U48*1000</f>
        <v>18386.091821988877</v>
      </c>
      <c r="AB97" s="319">
        <f>'2.BilantNOPRO'!V48*1000</f>
        <v>18259.531435209028</v>
      </c>
      <c r="AC97" s="319">
        <f>'2.BilantNOPRO'!W48*1000</f>
        <v>18135.332981647451</v>
      </c>
      <c r="AD97" s="319">
        <f>'2.BilantNOPRO'!X48*1000</f>
        <v>18013.45238172547</v>
      </c>
      <c r="AE97" s="319">
        <f>'2.BilantNOPRO'!Y48*1000</f>
        <v>17893.846378499537</v>
      </c>
      <c r="AF97" s="319">
        <f>'2.BilantNOPRO'!Z48*1000</f>
        <v>17776.472522308806</v>
      </c>
      <c r="AG97" s="319">
        <f>'2.BilantNOPRO'!AA48*1000</f>
        <v>17661.289155709233</v>
      </c>
      <c r="AH97" s="319">
        <f>'2.BilantNOPRO'!AB48*1000</f>
        <v>17548.255398688827</v>
      </c>
      <c r="AI97" s="319">
        <f>'2.BilantNOPRO'!AC48*1000</f>
        <v>17437.331134158816</v>
      </c>
      <c r="AJ97" s="319">
        <f>'2.BilantNOPRO'!AD48*1000</f>
        <v>17379.003396479926</v>
      </c>
      <c r="AK97" s="319">
        <f>'2.BilantNOPRO'!AE48*1000</f>
        <v>17321.258936177826</v>
      </c>
      <c r="AL97" s="319">
        <f>'2.BilantNOPRO'!AF48*1000</f>
        <v>17264.091920478753</v>
      </c>
      <c r="AM97" s="319">
        <f>'2.BilantNOPRO'!AG48*1000</f>
        <v>17207.496574936667</v>
      </c>
      <c r="AN97" s="319">
        <f>'2.BilantNOPRO'!AH48*1000</f>
        <v>17151.467182849996</v>
      </c>
      <c r="AO97" s="319">
        <f>'2.BilantNOPRO'!AI48*1000</f>
        <v>17095.998084684201</v>
      </c>
      <c r="AP97" s="319">
        <f>'2.BilantNOPRO'!AJ48*1000</f>
        <v>17041.083677500057</v>
      </c>
      <c r="AQ97" s="319">
        <f>'2.BilantNOPRO'!AK48*1000</f>
        <v>16986.71841438776</v>
      </c>
      <c r="AR97" s="319">
        <f>'2.BilantNOPRO'!AL48*1000</f>
        <v>16932.89680390658</v>
      </c>
      <c r="AS97" s="319">
        <f>'2.BilantNOPRO'!AM48*1000</f>
        <v>16879.613409530215</v>
      </c>
      <c r="AT97" s="43"/>
      <c r="AU97" s="41"/>
    </row>
    <row r="98" spans="1:47" x14ac:dyDescent="0.3">
      <c r="A98" s="41"/>
      <c r="B98" s="332">
        <f>B97+1</f>
        <v>44</v>
      </c>
      <c r="C98" s="608" t="s">
        <v>388</v>
      </c>
      <c r="D98" s="608"/>
      <c r="E98" s="608"/>
      <c r="F98" s="608"/>
      <c r="G98" s="608"/>
      <c r="H98" s="43"/>
      <c r="I98" s="315" t="s">
        <v>359</v>
      </c>
      <c r="J98" s="302"/>
      <c r="K98" s="302"/>
      <c r="L98" s="302"/>
      <c r="M98" s="319">
        <f>M96-M97</f>
        <v>201770</v>
      </c>
      <c r="N98" s="319">
        <f t="shared" ref="N98:AH98" si="80">N96-N97</f>
        <v>197406.09</v>
      </c>
      <c r="O98" s="319">
        <f t="shared" si="80"/>
        <v>194599.44308140586</v>
      </c>
      <c r="P98" s="319">
        <f t="shared" si="80"/>
        <v>191700.34870759881</v>
      </c>
      <c r="Q98" s="319">
        <f t="shared" si="80"/>
        <v>188883.60455645999</v>
      </c>
      <c r="R98" s="319">
        <f t="shared" si="80"/>
        <v>186146.7390270379</v>
      </c>
      <c r="S98" s="319">
        <f t="shared" si="80"/>
        <v>183487.35800283818</v>
      </c>
      <c r="T98" s="319">
        <f t="shared" si="80"/>
        <v>181690.40657190548</v>
      </c>
      <c r="U98" s="319">
        <f t="shared" si="80"/>
        <v>179926.49417289862</v>
      </c>
      <c r="V98" s="319">
        <f t="shared" si="80"/>
        <v>178195.01290493199</v>
      </c>
      <c r="W98" s="319">
        <f t="shared" si="80"/>
        <v>176495.36605999444</v>
      </c>
      <c r="X98" s="319">
        <f t="shared" si="80"/>
        <v>174826.96791672354</v>
      </c>
      <c r="Y98" s="319">
        <f t="shared" si="80"/>
        <v>173580.31303697612</v>
      </c>
      <c r="Z98" s="319">
        <f t="shared" si="80"/>
        <v>172356.92385392197</v>
      </c>
      <c r="AA98" s="319">
        <f t="shared" si="80"/>
        <v>171156.36617149657</v>
      </c>
      <c r="AB98" s="319">
        <f t="shared" si="80"/>
        <v>169978.21389681948</v>
      </c>
      <c r="AC98" s="319">
        <f t="shared" si="80"/>
        <v>168822.04888896851</v>
      </c>
      <c r="AD98" s="319">
        <f t="shared" si="80"/>
        <v>167687.46081057657</v>
      </c>
      <c r="AE98" s="319">
        <f t="shared" si="80"/>
        <v>166574.04698219761</v>
      </c>
      <c r="AF98" s="319">
        <f t="shared" si="80"/>
        <v>165481.4122393908</v>
      </c>
      <c r="AG98" s="319">
        <f t="shared" si="80"/>
        <v>164409.16879247158</v>
      </c>
      <c r="AH98" s="319">
        <f t="shared" si="80"/>
        <v>163356.93608888052</v>
      </c>
      <c r="AI98" s="319">
        <f t="shared" ref="AI98:AS98" si="81">AI96-AI97</f>
        <v>162324.34067812024</v>
      </c>
      <c r="AJ98" s="319">
        <f t="shared" si="81"/>
        <v>161781.3670149417</v>
      </c>
      <c r="AK98" s="319">
        <f t="shared" si="81"/>
        <v>161243.82308839491</v>
      </c>
      <c r="AL98" s="319">
        <f t="shared" si="81"/>
        <v>160711.65460111364</v>
      </c>
      <c r="AM98" s="319">
        <f t="shared" si="81"/>
        <v>160184.80779870515</v>
      </c>
      <c r="AN98" s="319">
        <f t="shared" si="81"/>
        <v>159663.2294643207</v>
      </c>
      <c r="AO98" s="319">
        <f t="shared" si="81"/>
        <v>159146.86691328019</v>
      </c>
      <c r="AP98" s="319">
        <f t="shared" si="81"/>
        <v>158635.66798775003</v>
      </c>
      <c r="AQ98" s="319">
        <f t="shared" si="81"/>
        <v>158129.58105147519</v>
      </c>
      <c r="AR98" s="319">
        <f t="shared" si="81"/>
        <v>157628.55498456303</v>
      </c>
      <c r="AS98" s="319">
        <f t="shared" si="81"/>
        <v>157132.53917832006</v>
      </c>
      <c r="AT98" s="43"/>
      <c r="AU98" s="41"/>
    </row>
    <row r="99" spans="1:47" x14ac:dyDescent="0.3">
      <c r="A99" s="41"/>
      <c r="B99" s="300"/>
      <c r="C99" s="329"/>
      <c r="D99" s="329"/>
      <c r="E99" s="329"/>
      <c r="F99" s="329"/>
      <c r="G99" s="329"/>
      <c r="H99" s="317"/>
      <c r="I99" s="330"/>
      <c r="J99" s="302"/>
      <c r="K99" s="302"/>
      <c r="L99" s="302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43"/>
      <c r="AU99" s="41"/>
    </row>
    <row r="100" spans="1:47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3">
      <c r="A101" s="41"/>
      <c r="B101" s="41"/>
      <c r="C101" s="692" t="s">
        <v>389</v>
      </c>
      <c r="D101" s="692"/>
      <c r="E101" s="692"/>
      <c r="F101" s="692"/>
      <c r="G101" s="692"/>
      <c r="H101" s="692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3">
      <c r="A103" s="41"/>
      <c r="C103" s="614"/>
      <c r="D103" s="614"/>
      <c r="E103" s="614"/>
      <c r="F103" s="614"/>
      <c r="G103" s="614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U103" s="41"/>
    </row>
    <row r="104" spans="1:47" x14ac:dyDescent="0.3">
      <c r="A104" s="41"/>
      <c r="B104" s="296">
        <f>B98+1</f>
        <v>45</v>
      </c>
      <c r="C104" s="598" t="s">
        <v>390</v>
      </c>
      <c r="D104" s="599"/>
      <c r="E104" s="599"/>
      <c r="F104" s="599"/>
      <c r="G104" s="600"/>
      <c r="H104" s="43"/>
      <c r="I104" s="315" t="s">
        <v>391</v>
      </c>
      <c r="J104" s="43"/>
      <c r="K104" s="43"/>
      <c r="L104" s="43"/>
      <c r="M104" s="319">
        <f t="shared" ref="M104:AH104" si="82">M37</f>
        <v>35808.739980817183</v>
      </c>
      <c r="N104" s="319">
        <f t="shared" si="82"/>
        <v>43143.672477962784</v>
      </c>
      <c r="O104" s="319">
        <f t="shared" si="82"/>
        <v>44006.545927522035</v>
      </c>
      <c r="P104" s="319">
        <f t="shared" si="82"/>
        <v>45502.768489057795</v>
      </c>
      <c r="Q104" s="319">
        <f t="shared" si="82"/>
        <v>47413.884765598217</v>
      </c>
      <c r="R104" s="319">
        <f t="shared" si="82"/>
        <v>49594.923464815744</v>
      </c>
      <c r="S104" s="319">
        <f t="shared" si="82"/>
        <v>51628.315326873184</v>
      </c>
      <c r="T104" s="319">
        <f t="shared" si="82"/>
        <v>53435.30636331375</v>
      </c>
      <c r="U104" s="319">
        <f t="shared" si="82"/>
        <v>55038.36555421316</v>
      </c>
      <c r="V104" s="319">
        <f t="shared" si="82"/>
        <v>56689.516520839563</v>
      </c>
      <c r="W104" s="319">
        <f t="shared" si="82"/>
        <v>58390.202016464747</v>
      </c>
      <c r="X104" s="319">
        <f t="shared" si="82"/>
        <v>60141.908076958694</v>
      </c>
      <c r="Y104" s="319">
        <f t="shared" si="82"/>
        <v>61946.165319267457</v>
      </c>
      <c r="Z104" s="319">
        <f t="shared" si="82"/>
        <v>63804.550278845491</v>
      </c>
      <c r="AA104" s="319">
        <f t="shared" si="82"/>
        <v>65718.686787210856</v>
      </c>
      <c r="AB104" s="319">
        <f t="shared" si="82"/>
        <v>67690.247390827179</v>
      </c>
      <c r="AC104" s="319">
        <f t="shared" si="82"/>
        <v>69720.954812551994</v>
      </c>
      <c r="AD104" s="319">
        <f t="shared" si="82"/>
        <v>71812.583456928551</v>
      </c>
      <c r="AE104" s="319">
        <f t="shared" si="82"/>
        <v>73966.96096063641</v>
      </c>
      <c r="AF104" s="319">
        <f t="shared" si="82"/>
        <v>76185.969789455514</v>
      </c>
      <c r="AG104" s="319">
        <f t="shared" si="82"/>
        <v>78471.548883139185</v>
      </c>
      <c r="AH104" s="319">
        <f t="shared" si="82"/>
        <v>80825.695349633359</v>
      </c>
      <c r="AI104" s="319">
        <f t="shared" ref="AI104:AS104" si="83">AI37</f>
        <v>83250.466210122366</v>
      </c>
      <c r="AJ104" s="319">
        <f t="shared" si="83"/>
        <v>85747.98019642604</v>
      </c>
      <c r="AK104" s="319">
        <f t="shared" si="83"/>
        <v>88320.419602318827</v>
      </c>
      <c r="AL104" s="319">
        <f t="shared" si="83"/>
        <v>90970.032190388389</v>
      </c>
      <c r="AM104" s="319">
        <f t="shared" si="83"/>
        <v>93699.133156100041</v>
      </c>
      <c r="AN104" s="319">
        <f t="shared" si="83"/>
        <v>96510.107150783049</v>
      </c>
      <c r="AO104" s="319">
        <f t="shared" si="83"/>
        <v>99405.410365306539</v>
      </c>
      <c r="AP104" s="319">
        <f t="shared" si="83"/>
        <v>102387.57267626573</v>
      </c>
      <c r="AQ104" s="319">
        <f t="shared" si="83"/>
        <v>105459.19985655369</v>
      </c>
      <c r="AR104" s="319">
        <f t="shared" si="83"/>
        <v>108622.9758522503</v>
      </c>
      <c r="AS104" s="319">
        <f t="shared" si="83"/>
        <v>111881.6651278178</v>
      </c>
      <c r="AU104" s="41"/>
    </row>
    <row r="105" spans="1:47" ht="24" customHeight="1" x14ac:dyDescent="0.3">
      <c r="A105" s="41"/>
      <c r="B105" s="300">
        <f>B104+1</f>
        <v>46</v>
      </c>
      <c r="C105" s="598" t="s">
        <v>392</v>
      </c>
      <c r="D105" s="599"/>
      <c r="E105" s="599"/>
      <c r="F105" s="599"/>
      <c r="G105" s="600"/>
      <c r="H105" s="43"/>
      <c r="I105" s="315" t="s">
        <v>15</v>
      </c>
      <c r="J105" s="43"/>
      <c r="K105" s="43"/>
      <c r="L105" s="43"/>
      <c r="M105" s="334">
        <f>M106/M104</f>
        <v>3.242192540454901E-2</v>
      </c>
      <c r="N105" s="334">
        <f t="shared" ref="N105:O105" si="84">N106/N104</f>
        <v>2.6674355306273399E-2</v>
      </c>
      <c r="O105" s="334">
        <f t="shared" si="84"/>
        <v>2.3128637948629422E-2</v>
      </c>
      <c r="P105" s="334">
        <f t="shared" ref="P105:AH105" si="85">P38</f>
        <v>2.3128637948629426E-2</v>
      </c>
      <c r="Q105" s="334">
        <f t="shared" si="85"/>
        <v>2.3128637948629426E-2</v>
      </c>
      <c r="R105" s="334">
        <f t="shared" si="85"/>
        <v>2.3128637948629426E-2</v>
      </c>
      <c r="S105" s="334">
        <f t="shared" si="85"/>
        <v>2.3591210707602013E-2</v>
      </c>
      <c r="T105" s="334">
        <f t="shared" si="85"/>
        <v>2.4063034921754052E-2</v>
      </c>
      <c r="U105" s="334">
        <f t="shared" si="85"/>
        <v>2.4544295620189133E-2</v>
      </c>
      <c r="V105" s="334">
        <f t="shared" si="85"/>
        <v>2.5035181532592918E-2</v>
      </c>
      <c r="W105" s="334">
        <f t="shared" si="85"/>
        <v>2.5535885163244777E-2</v>
      </c>
      <c r="X105" s="334">
        <f t="shared" si="85"/>
        <v>2.6046602866509672E-2</v>
      </c>
      <c r="Y105" s="334">
        <f t="shared" si="85"/>
        <v>2.6567534923839866E-2</v>
      </c>
      <c r="Z105" s="334">
        <f t="shared" si="85"/>
        <v>2.7098885622316663E-2</v>
      </c>
      <c r="AA105" s="334">
        <f t="shared" si="85"/>
        <v>2.7640863334762997E-2</v>
      </c>
      <c r="AB105" s="334">
        <f t="shared" si="85"/>
        <v>2.8193680601458257E-2</v>
      </c>
      <c r="AC105" s="334">
        <f t="shared" si="85"/>
        <v>2.8757554213487423E-2</v>
      </c>
      <c r="AD105" s="334">
        <f t="shared" si="85"/>
        <v>2.9332705297757174E-2</v>
      </c>
      <c r="AE105" s="334">
        <f t="shared" si="85"/>
        <v>2.9919359403712317E-2</v>
      </c>
      <c r="AF105" s="334">
        <f t="shared" si="85"/>
        <v>3.0517746591786563E-2</v>
      </c>
      <c r="AG105" s="334">
        <f t="shared" si="85"/>
        <v>3.1128101523622293E-2</v>
      </c>
      <c r="AH105" s="334">
        <f t="shared" si="85"/>
        <v>3.1750663554094741E-2</v>
      </c>
      <c r="AI105" s="334">
        <f t="shared" ref="AI105:AS105" si="86">AI38</f>
        <v>3.2385676825176637E-2</v>
      </c>
      <c r="AJ105" s="334">
        <f t="shared" si="86"/>
        <v>3.3033390361680168E-2</v>
      </c>
      <c r="AK105" s="334">
        <f t="shared" si="86"/>
        <v>3.3694058168913771E-2</v>
      </c>
      <c r="AL105" s="334">
        <f t="shared" si="86"/>
        <v>3.4367939332292048E-2</v>
      </c>
      <c r="AM105" s="334">
        <f t="shared" si="86"/>
        <v>3.5055298118937893E-2</v>
      </c>
      <c r="AN105" s="334">
        <f t="shared" si="86"/>
        <v>3.5756404081316653E-2</v>
      </c>
      <c r="AO105" s="334">
        <f t="shared" si="86"/>
        <v>3.6471532162942986E-2</v>
      </c>
      <c r="AP105" s="334">
        <f t="shared" si="86"/>
        <v>3.7200962806201845E-2</v>
      </c>
      <c r="AQ105" s="334">
        <f t="shared" si="86"/>
        <v>3.7944982062325883E-2</v>
      </c>
      <c r="AR105" s="334">
        <f t="shared" si="86"/>
        <v>3.8703881703572404E-2</v>
      </c>
      <c r="AS105" s="334">
        <f t="shared" si="86"/>
        <v>3.947795933764385E-2</v>
      </c>
      <c r="AU105" s="41"/>
    </row>
    <row r="106" spans="1:47" x14ac:dyDescent="0.3">
      <c r="A106" s="41"/>
      <c r="B106" s="300">
        <f>B105+1</f>
        <v>47</v>
      </c>
      <c r="C106" s="598" t="s">
        <v>393</v>
      </c>
      <c r="D106" s="599"/>
      <c r="E106" s="599"/>
      <c r="F106" s="599"/>
      <c r="G106" s="600"/>
      <c r="H106" s="43"/>
      <c r="I106" s="315" t="s">
        <v>391</v>
      </c>
      <c r="J106" s="43"/>
      <c r="K106" s="43"/>
      <c r="L106" s="43"/>
      <c r="M106" s="319">
        <f>M107*(1+tvat)</f>
        <v>1160.9882964889464</v>
      </c>
      <c r="N106" s="319">
        <f>N107*(1+tvat)</f>
        <v>1150.8296488946683</v>
      </c>
      <c r="O106" s="319">
        <f>O107*(1+tvat)</f>
        <v>1017.8114681273896</v>
      </c>
      <c r="P106" s="316">
        <f>P104*P105</f>
        <v>1052.4170580437212</v>
      </c>
      <c r="Q106" s="316">
        <f t="shared" ref="Q106:AH106" si="87">Q104*Q105</f>
        <v>1096.6185744815575</v>
      </c>
      <c r="R106" s="316">
        <f t="shared" si="87"/>
        <v>1147.0630289077094</v>
      </c>
      <c r="S106" s="316">
        <f t="shared" si="87"/>
        <v>1217.9744653547839</v>
      </c>
      <c r="T106" s="316">
        <f t="shared" si="87"/>
        <v>1285.8156430750453</v>
      </c>
      <c r="U106" s="316">
        <f t="shared" si="87"/>
        <v>1350.8779146146426</v>
      </c>
      <c r="V106" s="316">
        <f t="shared" si="87"/>
        <v>1419.2323370941438</v>
      </c>
      <c r="W106" s="316">
        <f t="shared" si="87"/>
        <v>1491.0454933511073</v>
      </c>
      <c r="X106" s="316">
        <f t="shared" si="87"/>
        <v>1566.4923953146736</v>
      </c>
      <c r="Y106" s="316">
        <f t="shared" si="87"/>
        <v>1645.756910517596</v>
      </c>
      <c r="Z106" s="316">
        <f t="shared" si="87"/>
        <v>1729.0322101897866</v>
      </c>
      <c r="AA106" s="316">
        <f t="shared" si="87"/>
        <v>1816.5212400253899</v>
      </c>
      <c r="AB106" s="316">
        <f t="shared" si="87"/>
        <v>1908.4372147706747</v>
      </c>
      <c r="AC106" s="316">
        <f t="shared" si="87"/>
        <v>2005.0041378380708</v>
      </c>
      <c r="AD106" s="316">
        <f t="shared" si="87"/>
        <v>2106.4573472126772</v>
      </c>
      <c r="AE106" s="316">
        <f t="shared" si="87"/>
        <v>2213.0440889816387</v>
      </c>
      <c r="AF106" s="316">
        <f t="shared" si="87"/>
        <v>2325.02411988411</v>
      </c>
      <c r="AG106" s="316">
        <f t="shared" si="87"/>
        <v>2442.6703403502461</v>
      </c>
      <c r="AH106" s="316">
        <f t="shared" si="87"/>
        <v>2566.2694595719686</v>
      </c>
      <c r="AI106" s="316">
        <f t="shared" ref="AI106:AS106" si="88">AI104*AI105</f>
        <v>2696.1226942263106</v>
      </c>
      <c r="AJ106" s="316">
        <f t="shared" si="88"/>
        <v>2832.5465025541621</v>
      </c>
      <c r="AK106" s="316">
        <f t="shared" si="88"/>
        <v>2975.8733555834028</v>
      </c>
      <c r="AL106" s="316">
        <f t="shared" si="88"/>
        <v>3126.4525473759227</v>
      </c>
      <c r="AM106" s="316">
        <f t="shared" si="88"/>
        <v>3284.6510462731449</v>
      </c>
      <c r="AN106" s="316">
        <f t="shared" si="88"/>
        <v>3450.8543892145667</v>
      </c>
      <c r="AO106" s="316">
        <f t="shared" si="88"/>
        <v>3625.4676213088237</v>
      </c>
      <c r="AP106" s="316">
        <f t="shared" si="88"/>
        <v>3808.9162829470497</v>
      </c>
      <c r="AQ106" s="316">
        <f t="shared" si="88"/>
        <v>4001.64744686417</v>
      </c>
      <c r="AR106" s="316">
        <f t="shared" si="88"/>
        <v>4204.1308076754976</v>
      </c>
      <c r="AS106" s="316">
        <f t="shared" si="88"/>
        <v>4416.8598265438768</v>
      </c>
      <c r="AU106" s="41"/>
    </row>
    <row r="107" spans="1:47" x14ac:dyDescent="0.3">
      <c r="A107" s="41"/>
      <c r="B107" s="300">
        <f t="shared" ref="B107:B108" si="89">B106+1</f>
        <v>48</v>
      </c>
      <c r="C107" s="598" t="s">
        <v>394</v>
      </c>
      <c r="D107" s="599"/>
      <c r="E107" s="599"/>
      <c r="F107" s="599"/>
      <c r="G107" s="600"/>
      <c r="H107" s="43"/>
      <c r="I107" s="315" t="s">
        <v>391</v>
      </c>
      <c r="J107" s="43"/>
      <c r="K107" s="43"/>
      <c r="L107" s="43"/>
      <c r="M107" s="319">
        <f>M108*M82</f>
        <v>1105.7031395132822</v>
      </c>
      <c r="N107" s="319">
        <f t="shared" ref="N107:O107" si="90">N108*N82</f>
        <v>1096.0282370425412</v>
      </c>
      <c r="O107" s="319">
        <f t="shared" si="90"/>
        <v>969.34425535941864</v>
      </c>
      <c r="P107" s="316">
        <f t="shared" ref="P107:AH107" si="91">P106/(1+tvat)</f>
        <v>1002.3019600416392</v>
      </c>
      <c r="Q107" s="316">
        <f t="shared" si="91"/>
        <v>1044.398642363388</v>
      </c>
      <c r="R107" s="316">
        <f t="shared" si="91"/>
        <v>1092.4409799121042</v>
      </c>
      <c r="S107" s="316">
        <f t="shared" si="91"/>
        <v>1159.9756812902704</v>
      </c>
      <c r="T107" s="316">
        <f t="shared" si="91"/>
        <v>1224.5863267381383</v>
      </c>
      <c r="U107" s="316">
        <f t="shared" si="91"/>
        <v>1286.5503948710882</v>
      </c>
      <c r="V107" s="316">
        <f t="shared" si="91"/>
        <v>1351.6498448515654</v>
      </c>
      <c r="W107" s="316">
        <f t="shared" si="91"/>
        <v>1420.0433270010544</v>
      </c>
      <c r="X107" s="316">
        <f t="shared" si="91"/>
        <v>1491.8975193473082</v>
      </c>
      <c r="Y107" s="316">
        <f t="shared" si="91"/>
        <v>1567.3875338262819</v>
      </c>
      <c r="Z107" s="316">
        <f t="shared" si="91"/>
        <v>1646.6973430378919</v>
      </c>
      <c r="AA107" s="316">
        <f t="shared" si="91"/>
        <v>1730.0202285956093</v>
      </c>
      <c r="AB107" s="316">
        <f t="shared" si="91"/>
        <v>1817.5592521625472</v>
      </c>
      <c r="AC107" s="316">
        <f t="shared" si="91"/>
        <v>1909.5277503219722</v>
      </c>
      <c r="AD107" s="316">
        <f t="shared" si="91"/>
        <v>2006.1498544882638</v>
      </c>
      <c r="AE107" s="316">
        <f t="shared" si="91"/>
        <v>2107.6610371253701</v>
      </c>
      <c r="AF107" s="316">
        <f t="shared" si="91"/>
        <v>2214.308685603914</v>
      </c>
      <c r="AG107" s="316">
        <f t="shared" si="91"/>
        <v>2326.3527050954722</v>
      </c>
      <c r="AH107" s="316">
        <f t="shared" si="91"/>
        <v>2444.0661519733035</v>
      </c>
      <c r="AI107" s="316">
        <f t="shared" ref="AI107:AS107" si="92">AI106/(1+tvat)</f>
        <v>2567.735899263153</v>
      </c>
      <c r="AJ107" s="316">
        <f t="shared" si="92"/>
        <v>2697.6633357658684</v>
      </c>
      <c r="AK107" s="316">
        <f t="shared" si="92"/>
        <v>2834.1651005556214</v>
      </c>
      <c r="AL107" s="316">
        <f t="shared" si="92"/>
        <v>2977.5738546437356</v>
      </c>
      <c r="AM107" s="316">
        <f t="shared" si="92"/>
        <v>3128.2390916887093</v>
      </c>
      <c r="AN107" s="316">
        <f t="shared" si="92"/>
        <v>3286.5279897281584</v>
      </c>
      <c r="AO107" s="316">
        <f t="shared" si="92"/>
        <v>3452.8263060084032</v>
      </c>
      <c r="AP107" s="316">
        <f t="shared" si="92"/>
        <v>3627.5393170924281</v>
      </c>
      <c r="AQ107" s="316">
        <f t="shared" si="92"/>
        <v>3811.0928065373046</v>
      </c>
      <c r="AR107" s="316">
        <f t="shared" si="92"/>
        <v>4003.9341025480926</v>
      </c>
      <c r="AS107" s="316">
        <f t="shared" si="92"/>
        <v>4206.5331681370253</v>
      </c>
      <c r="AU107" s="41"/>
    </row>
    <row r="108" spans="1:47" x14ac:dyDescent="0.3">
      <c r="A108" s="337"/>
      <c r="B108" s="338">
        <f t="shared" si="89"/>
        <v>49</v>
      </c>
      <c r="C108" s="679" t="s">
        <v>406</v>
      </c>
      <c r="D108" s="680"/>
      <c r="E108" s="680"/>
      <c r="F108" s="680"/>
      <c r="G108" s="681"/>
      <c r="H108" s="317"/>
      <c r="I108" s="313" t="s">
        <v>395</v>
      </c>
      <c r="J108" s="317"/>
      <c r="K108" s="317"/>
      <c r="L108" s="317"/>
      <c r="M108" s="340">
        <f>M41</f>
        <v>228.57142857142856</v>
      </c>
      <c r="N108" s="340">
        <f t="shared" ref="N108:P108" si="93">N41</f>
        <v>228.57142857142856</v>
      </c>
      <c r="O108" s="340">
        <f t="shared" si="93"/>
        <v>228.57142857142856</v>
      </c>
      <c r="P108" s="340">
        <f t="shared" si="93"/>
        <v>238.42911187173485</v>
      </c>
      <c r="Q108" s="340">
        <f t="shared" ref="Q108:AH108" si="94">Q107/Q82</f>
        <v>250.63620133200277</v>
      </c>
      <c r="R108" s="340">
        <f t="shared" si="94"/>
        <v>264.47966365021432</v>
      </c>
      <c r="S108" s="340">
        <f t="shared" si="94"/>
        <v>283.30874800208886</v>
      </c>
      <c r="T108" s="340">
        <f t="shared" si="94"/>
        <v>301.72917555188411</v>
      </c>
      <c r="U108" s="340">
        <f t="shared" si="94"/>
        <v>319.79487700863501</v>
      </c>
      <c r="V108" s="340">
        <f t="shared" si="94"/>
        <v>338.94224240632735</v>
      </c>
      <c r="W108" s="340">
        <f t="shared" si="94"/>
        <v>359.23603517991177</v>
      </c>
      <c r="X108" s="340">
        <f t="shared" si="94"/>
        <v>380.74489640354636</v>
      </c>
      <c r="Y108" s="340">
        <f t="shared" si="94"/>
        <v>403.54157695996554</v>
      </c>
      <c r="Z108" s="340">
        <f t="shared" si="94"/>
        <v>427.70318361073373</v>
      </c>
      <c r="AA108" s="340">
        <f t="shared" si="94"/>
        <v>453.31143979968414</v>
      </c>
      <c r="AB108" s="340">
        <f t="shared" si="94"/>
        <v>480.45296207167524</v>
      </c>
      <c r="AC108" s="340">
        <f t="shared" si="94"/>
        <v>509.21955304161628</v>
      </c>
      <c r="AD108" s="340">
        <f t="shared" si="94"/>
        <v>539.70851190468807</v>
      </c>
      <c r="AE108" s="340">
        <f t="shared" si="94"/>
        <v>572.02296353802296</v>
      </c>
      <c r="AF108" s="340">
        <f t="shared" si="94"/>
        <v>606.27220730698309</v>
      </c>
      <c r="AG108" s="340">
        <f t="shared" si="94"/>
        <v>642.5720867558299</v>
      </c>
      <c r="AH108" s="340">
        <f t="shared" si="94"/>
        <v>681.04538143321554</v>
      </c>
      <c r="AI108" s="340">
        <f t="shared" ref="AI108:AS108" si="95">AI107/AI82</f>
        <v>721.82222217779213</v>
      </c>
      <c r="AJ108" s="340">
        <f t="shared" si="95"/>
        <v>758.34642661998839</v>
      </c>
      <c r="AK108" s="340">
        <f t="shared" si="95"/>
        <v>796.71875580695973</v>
      </c>
      <c r="AL108" s="340">
        <f t="shared" si="95"/>
        <v>837.03272485079185</v>
      </c>
      <c r="AM108" s="340">
        <f t="shared" si="95"/>
        <v>879.38658072824205</v>
      </c>
      <c r="AN108" s="340">
        <f t="shared" si="95"/>
        <v>923.88354171309118</v>
      </c>
      <c r="AO108" s="340">
        <f t="shared" si="95"/>
        <v>970.63204892377371</v>
      </c>
      <c r="AP108" s="340">
        <f t="shared" si="95"/>
        <v>1019.7460305993163</v>
      </c>
      <c r="AQ108" s="340">
        <f t="shared" si="95"/>
        <v>1071.3451797476419</v>
      </c>
      <c r="AR108" s="340">
        <f t="shared" si="95"/>
        <v>1125.5552458428726</v>
      </c>
      <c r="AS108" s="340">
        <f t="shared" si="95"/>
        <v>1182.5083412825215</v>
      </c>
      <c r="AT108" s="320"/>
      <c r="AU108" s="337"/>
    </row>
    <row r="109" spans="1:47" x14ac:dyDescent="0.3">
      <c r="A109" s="41"/>
      <c r="B109" s="300"/>
      <c r="C109" s="306"/>
      <c r="D109" s="306"/>
      <c r="E109" s="306"/>
      <c r="F109" s="306"/>
      <c r="G109" s="306"/>
      <c r="H109" s="43"/>
      <c r="I109" s="302"/>
      <c r="J109" s="302"/>
      <c r="K109" s="302"/>
      <c r="L109" s="30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U109" s="41"/>
    </row>
    <row r="110" spans="1:47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3">
      <c r="A111" s="41"/>
      <c r="B111" s="41"/>
      <c r="C111" s="692" t="s">
        <v>400</v>
      </c>
      <c r="D111" s="692"/>
      <c r="E111" s="692"/>
      <c r="F111" s="692"/>
      <c r="G111" s="692"/>
      <c r="H111" s="692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47" x14ac:dyDescent="0.3">
      <c r="A113" s="41"/>
      <c r="C113" s="341"/>
      <c r="D113" s="341"/>
      <c r="E113" s="341"/>
      <c r="F113" s="341"/>
      <c r="G113" s="341"/>
      <c r="H113" s="43"/>
      <c r="AU113" s="41"/>
    </row>
    <row r="114" spans="1:47" x14ac:dyDescent="0.3">
      <c r="A114" s="41"/>
      <c r="C114" s="614" t="s">
        <v>405</v>
      </c>
      <c r="D114" s="614"/>
      <c r="E114" s="614"/>
      <c r="F114" s="614"/>
      <c r="G114" s="614"/>
      <c r="H114" s="43"/>
      <c r="AU114" s="41"/>
    </row>
    <row r="115" spans="1:47" x14ac:dyDescent="0.3">
      <c r="A115" s="41"/>
      <c r="B115" s="296">
        <f>B108+1</f>
        <v>50</v>
      </c>
      <c r="C115" s="598" t="s">
        <v>674</v>
      </c>
      <c r="D115" s="599"/>
      <c r="E115" s="599"/>
      <c r="F115" s="599"/>
      <c r="G115" s="600"/>
      <c r="H115" s="43"/>
      <c r="I115" s="315" t="s">
        <v>395</v>
      </c>
      <c r="J115" s="43"/>
      <c r="K115" s="43"/>
      <c r="L115" s="43"/>
      <c r="M115" s="326">
        <f>('5.O&amp;M'!M141)*1000/'6.Venituri'!M90</f>
        <v>432.66170701159962</v>
      </c>
      <c r="N115" s="326">
        <f>('5.O&amp;M'!N141)*1000/'6.Venituri'!N90</f>
        <v>687.4038421296716</v>
      </c>
      <c r="O115" s="326">
        <f>('5.O&amp;M'!O141)*1000/'6.Venituri'!O90</f>
        <v>786.28133266163934</v>
      </c>
      <c r="P115" s="326">
        <f>('5.O&amp;M'!P141)*1000/'6.Venituri'!P90</f>
        <v>868.20405711823003</v>
      </c>
      <c r="Q115" s="326">
        <f>('5.O&amp;M'!Q141)*1000/'6.Venituri'!Q90</f>
        <v>826.69535101452595</v>
      </c>
      <c r="R115" s="326">
        <f>('5.O&amp;M'!R141)*1000/'6.Venituri'!R90</f>
        <v>847.25607858022875</v>
      </c>
      <c r="S115" s="326">
        <f>('5.O&amp;M'!S141)*1000/'6.Venituri'!S90</f>
        <v>859.0793166067217</v>
      </c>
      <c r="T115" s="326">
        <f>('5.O&amp;M'!T141)*1000/'6.Venituri'!T90</f>
        <v>866.1228987454341</v>
      </c>
      <c r="U115" s="326">
        <f>('5.O&amp;M'!U141)*1000/'6.Venituri'!U90</f>
        <v>872.26626201088663</v>
      </c>
      <c r="V115" s="326">
        <f>('5.O&amp;M'!V141)*1000/'6.Venituri'!V90</f>
        <v>878.65807740194259</v>
      </c>
      <c r="W115" s="326">
        <f>('5.O&amp;M'!W141)*1000/'6.Venituri'!W90</f>
        <v>885.2800833807438</v>
      </c>
      <c r="X115" s="326">
        <f>('5.O&amp;M'!X141)*1000/'6.Venituri'!X90</f>
        <v>901.4574525132706</v>
      </c>
      <c r="Y115" s="326">
        <f>('5.O&amp;M'!Y141)*1000/'6.Venituri'!Y90</f>
        <v>915.80792736862952</v>
      </c>
      <c r="Z115" s="326">
        <f>('5.O&amp;M'!Z141)*1000/'6.Venituri'!Z90</f>
        <v>930.67094833577153</v>
      </c>
      <c r="AA115" s="326">
        <f>('5.O&amp;M'!AA141)*1000/'6.Venituri'!AA90</f>
        <v>946.08375007731968</v>
      </c>
      <c r="AB115" s="326">
        <f>('5.O&amp;M'!AB141)*1000/'6.Venituri'!AB90</f>
        <v>962.05740597223303</v>
      </c>
      <c r="AC115" s="326">
        <f>('5.O&amp;M'!AC141)*1000/'6.Venituri'!AC90</f>
        <v>981.55151076262052</v>
      </c>
      <c r="AD115" s="326">
        <f>('5.O&amp;M'!AD141)*1000/'6.Venituri'!AD90</f>
        <v>1001.7648218198191</v>
      </c>
      <c r="AE115" s="326">
        <f>('5.O&amp;M'!AE141)*1000/'6.Venituri'!AE90</f>
        <v>1022.7285754240471</v>
      </c>
      <c r="AF115" s="326">
        <f>('5.O&amp;M'!AF141)*1000/'6.Venituri'!AF90</f>
        <v>1044.4754529571617</v>
      </c>
      <c r="AG115" s="326">
        <f>('5.O&amp;M'!AG141)*1000/'6.Venituri'!AG90</f>
        <v>1067.0396492132618</v>
      </c>
      <c r="AH115" s="326">
        <f>('5.O&amp;M'!AH141)*1000/'6.Venituri'!AH90</f>
        <v>1090.456943959131</v>
      </c>
      <c r="AI115" s="326">
        <f>('5.O&amp;M'!AI141)*1000/'6.Venituri'!AI90</f>
        <v>1114.7647769002626</v>
      </c>
      <c r="AJ115" s="326">
        <f>('5.O&amp;M'!AJ141)*1000/'6.Venituri'!AJ90</f>
        <v>1211.6470850097878</v>
      </c>
      <c r="AK115" s="326">
        <f>('5.O&amp;M'!AK141)*1000/'6.Venituri'!AK90</f>
        <v>1309.8342092755313</v>
      </c>
      <c r="AL115" s="326">
        <f>('5.O&amp;M'!AL141)*1000/'6.Venituri'!AL90</f>
        <v>1409.3792314703517</v>
      </c>
      <c r="AM115" s="326">
        <f>('5.O&amp;M'!AM141)*1000/'6.Venituri'!AM90</f>
        <v>1510.2987562405574</v>
      </c>
      <c r="AN115" s="326">
        <f>('5.O&amp;M'!AN141)*1000/'6.Venituri'!AN90</f>
        <v>1612.6298640081181</v>
      </c>
      <c r="AO115" s="326">
        <f>('5.O&amp;M'!AO141)*1000/'6.Venituri'!AO90</f>
        <v>1716.4111215980497</v>
      </c>
      <c r="AP115" s="326">
        <f>('5.O&amp;M'!AP141)*1000/'6.Venituri'!AP90</f>
        <v>1821.6826527760393</v>
      </c>
      <c r="AQ115" s="326">
        <f>('5.O&amp;M'!AQ141)*1000/'6.Venituri'!AQ90</f>
        <v>1928.4862122648092</v>
      </c>
      <c r="AR115" s="326">
        <f>('5.O&amp;M'!AR141)*1000/'6.Venituri'!AR90</f>
        <v>2036.8652634136306</v>
      </c>
      <c r="AS115" s="326">
        <f>('5.O&amp;M'!AS141)*1000/'6.Venituri'!AS90</f>
        <v>2146.8650597042765</v>
      </c>
      <c r="AU115" s="41"/>
    </row>
    <row r="116" spans="1:47" x14ac:dyDescent="0.3">
      <c r="A116" s="41"/>
      <c r="B116" s="300">
        <f>B115+1</f>
        <v>51</v>
      </c>
      <c r="C116" s="598" t="s">
        <v>397</v>
      </c>
      <c r="D116" s="599"/>
      <c r="E116" s="599"/>
      <c r="F116" s="599"/>
      <c r="G116" s="600"/>
      <c r="H116" s="43"/>
      <c r="I116" s="315" t="s">
        <v>395</v>
      </c>
      <c r="J116" s="43"/>
      <c r="K116" s="43"/>
      <c r="L116" s="43"/>
      <c r="M116" s="316">
        <f>M115</f>
        <v>432.66170701159962</v>
      </c>
      <c r="N116" s="316">
        <f t="shared" ref="N116" si="96">N115</f>
        <v>687.4038421296716</v>
      </c>
      <c r="O116" s="316">
        <f t="shared" ref="O116" si="97">O115</f>
        <v>786.28133266163934</v>
      </c>
      <c r="P116" s="316">
        <f t="shared" ref="P116" si="98">P115</f>
        <v>868.20405711823003</v>
      </c>
      <c r="Q116" s="316">
        <f t="shared" ref="Q116" si="99">Q115</f>
        <v>826.69535101452595</v>
      </c>
      <c r="R116" s="316">
        <f t="shared" ref="R116" si="100">R115</f>
        <v>847.25607858022875</v>
      </c>
      <c r="S116" s="316">
        <f t="shared" ref="S116" si="101">S115</f>
        <v>859.0793166067217</v>
      </c>
      <c r="T116" s="316">
        <f t="shared" ref="T116" si="102">T115</f>
        <v>866.1228987454341</v>
      </c>
      <c r="U116" s="316">
        <f t="shared" ref="U116" si="103">U115</f>
        <v>872.26626201088663</v>
      </c>
      <c r="V116" s="316">
        <f t="shared" ref="V116" si="104">V115</f>
        <v>878.65807740194259</v>
      </c>
      <c r="W116" s="316">
        <f t="shared" ref="W116" si="105">W115</f>
        <v>885.2800833807438</v>
      </c>
      <c r="X116" s="316">
        <f t="shared" ref="X116" si="106">X115</f>
        <v>901.4574525132706</v>
      </c>
      <c r="Y116" s="316">
        <f t="shared" ref="Y116" si="107">Y115</f>
        <v>915.80792736862952</v>
      </c>
      <c r="Z116" s="316">
        <f t="shared" ref="Z116" si="108">Z115</f>
        <v>930.67094833577153</v>
      </c>
      <c r="AA116" s="316">
        <f t="shared" ref="AA116" si="109">AA115</f>
        <v>946.08375007731968</v>
      </c>
      <c r="AB116" s="316">
        <f t="shared" ref="AB116" si="110">AB115</f>
        <v>962.05740597223303</v>
      </c>
      <c r="AC116" s="316">
        <f t="shared" ref="AC116" si="111">AC115</f>
        <v>981.55151076262052</v>
      </c>
      <c r="AD116" s="316">
        <f t="shared" ref="AD116" si="112">AD115</f>
        <v>1001.7648218198191</v>
      </c>
      <c r="AE116" s="316">
        <f t="shared" ref="AE116" si="113">AE115</f>
        <v>1022.7285754240471</v>
      </c>
      <c r="AF116" s="316">
        <f t="shared" ref="AF116" si="114">AF115</f>
        <v>1044.4754529571617</v>
      </c>
      <c r="AG116" s="316">
        <f t="shared" ref="AG116" si="115">AG115</f>
        <v>1067.0396492132618</v>
      </c>
      <c r="AH116" s="316">
        <f t="shared" ref="AH116:AI116" si="116">AH115</f>
        <v>1090.456943959131</v>
      </c>
      <c r="AI116" s="316">
        <f t="shared" si="116"/>
        <v>1114.7647769002626</v>
      </c>
      <c r="AJ116" s="316">
        <f t="shared" ref="AJ116:AS116" si="117">AJ115</f>
        <v>1211.6470850097878</v>
      </c>
      <c r="AK116" s="316">
        <f t="shared" si="117"/>
        <v>1309.8342092755313</v>
      </c>
      <c r="AL116" s="316">
        <f t="shared" si="117"/>
        <v>1409.3792314703517</v>
      </c>
      <c r="AM116" s="316">
        <f t="shared" si="117"/>
        <v>1510.2987562405574</v>
      </c>
      <c r="AN116" s="316">
        <f t="shared" si="117"/>
        <v>1612.6298640081181</v>
      </c>
      <c r="AO116" s="316">
        <f t="shared" si="117"/>
        <v>1716.4111215980497</v>
      </c>
      <c r="AP116" s="316">
        <f t="shared" si="117"/>
        <v>1821.6826527760393</v>
      </c>
      <c r="AQ116" s="316">
        <f t="shared" si="117"/>
        <v>1928.4862122648092</v>
      </c>
      <c r="AR116" s="316">
        <f t="shared" si="117"/>
        <v>2036.8652634136306</v>
      </c>
      <c r="AS116" s="316">
        <f t="shared" si="117"/>
        <v>2146.8650597042765</v>
      </c>
      <c r="AU116" s="41"/>
    </row>
    <row r="117" spans="1:47" x14ac:dyDescent="0.3">
      <c r="A117" s="41"/>
      <c r="B117" s="300">
        <f>B116+1</f>
        <v>52</v>
      </c>
      <c r="C117" s="598" t="s">
        <v>398</v>
      </c>
      <c r="D117" s="599"/>
      <c r="E117" s="599"/>
      <c r="F117" s="599"/>
      <c r="G117" s="600"/>
      <c r="H117" s="43"/>
      <c r="I117" s="315" t="s">
        <v>395</v>
      </c>
      <c r="J117" s="43"/>
      <c r="K117" s="43"/>
      <c r="L117" s="43"/>
      <c r="M117" s="316">
        <f>M108</f>
        <v>228.57142857142856</v>
      </c>
      <c r="N117" s="316">
        <f t="shared" ref="N117:AH117" si="118">N108</f>
        <v>228.57142857142856</v>
      </c>
      <c r="O117" s="316">
        <f t="shared" si="118"/>
        <v>228.57142857142856</v>
      </c>
      <c r="P117" s="316">
        <f t="shared" si="118"/>
        <v>238.42911187173485</v>
      </c>
      <c r="Q117" s="316">
        <f t="shared" si="118"/>
        <v>250.63620133200277</v>
      </c>
      <c r="R117" s="316">
        <f t="shared" si="118"/>
        <v>264.47966365021432</v>
      </c>
      <c r="S117" s="316">
        <f t="shared" si="118"/>
        <v>283.30874800208886</v>
      </c>
      <c r="T117" s="316">
        <f t="shared" si="118"/>
        <v>301.72917555188411</v>
      </c>
      <c r="U117" s="316">
        <f t="shared" si="118"/>
        <v>319.79487700863501</v>
      </c>
      <c r="V117" s="316">
        <f t="shared" si="118"/>
        <v>338.94224240632735</v>
      </c>
      <c r="W117" s="316">
        <f t="shared" si="118"/>
        <v>359.23603517991177</v>
      </c>
      <c r="X117" s="316">
        <f t="shared" si="118"/>
        <v>380.74489640354636</v>
      </c>
      <c r="Y117" s="316">
        <f t="shared" si="118"/>
        <v>403.54157695996554</v>
      </c>
      <c r="Z117" s="316">
        <f t="shared" si="118"/>
        <v>427.70318361073373</v>
      </c>
      <c r="AA117" s="316">
        <f t="shared" si="118"/>
        <v>453.31143979968414</v>
      </c>
      <c r="AB117" s="316">
        <f t="shared" si="118"/>
        <v>480.45296207167524</v>
      </c>
      <c r="AC117" s="316">
        <f t="shared" si="118"/>
        <v>509.21955304161628</v>
      </c>
      <c r="AD117" s="316">
        <f t="shared" si="118"/>
        <v>539.70851190468807</v>
      </c>
      <c r="AE117" s="316">
        <f t="shared" si="118"/>
        <v>572.02296353802296</v>
      </c>
      <c r="AF117" s="316">
        <f t="shared" si="118"/>
        <v>606.27220730698309</v>
      </c>
      <c r="AG117" s="316">
        <f t="shared" si="118"/>
        <v>642.5720867558299</v>
      </c>
      <c r="AH117" s="316">
        <f t="shared" si="118"/>
        <v>681.04538143321554</v>
      </c>
      <c r="AI117" s="316">
        <f t="shared" ref="AI117:AS117" si="119">AI108</f>
        <v>721.82222217779213</v>
      </c>
      <c r="AJ117" s="316">
        <f t="shared" si="119"/>
        <v>758.34642661998839</v>
      </c>
      <c r="AK117" s="316">
        <f t="shared" si="119"/>
        <v>796.71875580695973</v>
      </c>
      <c r="AL117" s="316">
        <f t="shared" si="119"/>
        <v>837.03272485079185</v>
      </c>
      <c r="AM117" s="316">
        <f t="shared" si="119"/>
        <v>879.38658072824205</v>
      </c>
      <c r="AN117" s="316">
        <f t="shared" si="119"/>
        <v>923.88354171309118</v>
      </c>
      <c r="AO117" s="316">
        <f t="shared" si="119"/>
        <v>970.63204892377371</v>
      </c>
      <c r="AP117" s="316">
        <f t="shared" si="119"/>
        <v>1019.7460305993163</v>
      </c>
      <c r="AQ117" s="316">
        <f t="shared" si="119"/>
        <v>1071.3451797476419</v>
      </c>
      <c r="AR117" s="316">
        <f t="shared" si="119"/>
        <v>1125.5552458428726</v>
      </c>
      <c r="AS117" s="316">
        <f t="shared" si="119"/>
        <v>1182.5083412825215</v>
      </c>
      <c r="AU117" s="41"/>
    </row>
    <row r="118" spans="1:47" x14ac:dyDescent="0.3">
      <c r="A118" s="41"/>
      <c r="B118" s="300">
        <f t="shared" ref="B118:B121" si="120">B117+1</f>
        <v>53</v>
      </c>
      <c r="C118" s="598" t="s">
        <v>399</v>
      </c>
      <c r="D118" s="599"/>
      <c r="E118" s="599"/>
      <c r="F118" s="599"/>
      <c r="G118" s="600"/>
      <c r="H118" s="43"/>
      <c r="I118" s="315" t="s">
        <v>395</v>
      </c>
      <c r="J118" s="43"/>
      <c r="K118" s="43"/>
      <c r="L118" s="43"/>
      <c r="M118" s="316">
        <f>N((M116-M117)&gt;0)*(M116-M117)</f>
        <v>204.09027844017106</v>
      </c>
      <c r="N118" s="316">
        <f t="shared" ref="N118" si="121">N((N116-N117)&gt;0)*(N116-N117)</f>
        <v>458.83241355824305</v>
      </c>
      <c r="O118" s="316">
        <f t="shared" ref="O118" si="122">N((O116-O117)&gt;0)*(O116-O117)</f>
        <v>557.70990409021078</v>
      </c>
      <c r="P118" s="316">
        <f t="shared" ref="P118" si="123">N((P116-P117)&gt;0)*(P116-P117)</f>
        <v>629.77494524649524</v>
      </c>
      <c r="Q118" s="316">
        <f t="shared" ref="Q118" si="124">N((Q116-Q117)&gt;0)*(Q116-Q117)</f>
        <v>576.05914968252318</v>
      </c>
      <c r="R118" s="316">
        <f t="shared" ref="R118" si="125">N((R116-R117)&gt;0)*(R116-R117)</f>
        <v>582.77641493001443</v>
      </c>
      <c r="S118" s="316">
        <f t="shared" ref="S118" si="126">N((S116-S117)&gt;0)*(S116-S117)</f>
        <v>575.7705686046329</v>
      </c>
      <c r="T118" s="316">
        <f t="shared" ref="T118" si="127">N((T116-T117)&gt;0)*(T116-T117)</f>
        <v>564.39372319354993</v>
      </c>
      <c r="U118" s="316">
        <f t="shared" ref="U118" si="128">N((U116-U117)&gt;0)*(U116-U117)</f>
        <v>552.47138500225162</v>
      </c>
      <c r="V118" s="316">
        <f t="shared" ref="V118" si="129">N((V116-V117)&gt;0)*(V116-V117)</f>
        <v>539.7158349956153</v>
      </c>
      <c r="W118" s="316">
        <f t="shared" ref="W118" si="130">N((W116-W117)&gt;0)*(W116-W117)</f>
        <v>526.04404820083209</v>
      </c>
      <c r="X118" s="316">
        <f t="shared" ref="X118" si="131">N((X116-X117)&gt;0)*(X116-X117)</f>
        <v>520.71255610972423</v>
      </c>
      <c r="Y118" s="316">
        <f t="shared" ref="Y118" si="132">N((Y116-Y117)&gt;0)*(Y116-Y117)</f>
        <v>512.26635040866404</v>
      </c>
      <c r="Z118" s="316">
        <f t="shared" ref="Z118" si="133">N((Z116-Z117)&gt;0)*(Z116-Z117)</f>
        <v>502.9677647250378</v>
      </c>
      <c r="AA118" s="316">
        <f t="shared" ref="AA118" si="134">N((AA116-AA117)&gt;0)*(AA116-AA117)</f>
        <v>492.77231027763554</v>
      </c>
      <c r="AB118" s="316">
        <f t="shared" ref="AB118" si="135">N((AB116-AB117)&gt;0)*(AB116-AB117)</f>
        <v>481.60444390055778</v>
      </c>
      <c r="AC118" s="316">
        <f t="shared" ref="AC118" si="136">N((AC116-AC117)&gt;0)*(AC116-AC117)</f>
        <v>472.33195772100424</v>
      </c>
      <c r="AD118" s="316">
        <f t="shared" ref="AD118" si="137">N((AD116-AD117)&gt;0)*(AD116-AD117)</f>
        <v>462.05630991513101</v>
      </c>
      <c r="AE118" s="316">
        <f t="shared" ref="AE118" si="138">N((AE116-AE117)&gt;0)*(AE116-AE117)</f>
        <v>450.70561188602414</v>
      </c>
      <c r="AF118" s="316">
        <f t="shared" ref="AF118" si="139">N((AF116-AF117)&gt;0)*(AF116-AF117)</f>
        <v>438.20324565017859</v>
      </c>
      <c r="AG118" s="316">
        <f t="shared" ref="AG118" si="140">N((AG116-AG117)&gt;0)*(AG116-AG117)</f>
        <v>424.46756245743188</v>
      </c>
      <c r="AH118" s="316">
        <f t="shared" ref="AH118:AI118" si="141">N((AH116-AH117)&gt;0)*(AH116-AH117)</f>
        <v>409.41156252591543</v>
      </c>
      <c r="AI118" s="316">
        <f t="shared" si="141"/>
        <v>392.9425547224705</v>
      </c>
      <c r="AJ118" s="316">
        <f t="shared" ref="AJ118:AS118" si="142">N((AJ116-AJ117)&gt;0)*(AJ116-AJ117)</f>
        <v>453.30065838979942</v>
      </c>
      <c r="AK118" s="316">
        <f t="shared" si="142"/>
        <v>513.11545346857156</v>
      </c>
      <c r="AL118" s="316">
        <f t="shared" si="142"/>
        <v>572.34650661955982</v>
      </c>
      <c r="AM118" s="316">
        <f t="shared" si="142"/>
        <v>630.91217551231534</v>
      </c>
      <c r="AN118" s="316">
        <f t="shared" si="142"/>
        <v>688.74632229502697</v>
      </c>
      <c r="AO118" s="316">
        <f t="shared" si="142"/>
        <v>745.77907267427599</v>
      </c>
      <c r="AP118" s="316">
        <f t="shared" si="142"/>
        <v>801.93662217672295</v>
      </c>
      <c r="AQ118" s="316">
        <f t="shared" si="142"/>
        <v>857.14103251716733</v>
      </c>
      <c r="AR118" s="316">
        <f t="shared" si="142"/>
        <v>911.31001757075796</v>
      </c>
      <c r="AS118" s="316">
        <f t="shared" si="142"/>
        <v>964.35671842175498</v>
      </c>
      <c r="AU118" s="41"/>
    </row>
    <row r="119" spans="1:47" x14ac:dyDescent="0.3">
      <c r="A119" s="41"/>
      <c r="B119" s="300">
        <f t="shared" si="120"/>
        <v>54</v>
      </c>
      <c r="C119" s="598" t="s">
        <v>401</v>
      </c>
      <c r="D119" s="599"/>
      <c r="E119" s="599"/>
      <c r="F119" s="599"/>
      <c r="G119" s="600"/>
      <c r="H119" s="43"/>
      <c r="I119" s="315" t="s">
        <v>175</v>
      </c>
      <c r="J119" s="43"/>
      <c r="K119" s="43"/>
      <c r="L119" s="43"/>
      <c r="M119" s="316">
        <f>M83</f>
        <v>74399.999999999985</v>
      </c>
      <c r="N119" s="316">
        <f t="shared" ref="N119:AH119" si="143">N83</f>
        <v>64419</v>
      </c>
      <c r="O119" s="316">
        <f t="shared" si="143"/>
        <v>62516.530018949932</v>
      </c>
      <c r="P119" s="316">
        <f t="shared" si="143"/>
        <v>60672.051809986646</v>
      </c>
      <c r="Q119" s="316">
        <f t="shared" si="143"/>
        <v>58883.744992120221</v>
      </c>
      <c r="R119" s="316">
        <f t="shared" si="143"/>
        <v>57149.847813585722</v>
      </c>
      <c r="S119" s="316">
        <f t="shared" si="143"/>
        <v>55468.65522279359</v>
      </c>
      <c r="T119" s="316">
        <f t="shared" si="143"/>
        <v>54433.471444698211</v>
      </c>
      <c r="U119" s="316">
        <f t="shared" si="143"/>
        <v>53417.606783861534</v>
      </c>
      <c r="V119" s="316">
        <f t="shared" si="143"/>
        <v>52420.700697257715</v>
      </c>
      <c r="W119" s="316">
        <f t="shared" si="143"/>
        <v>51442.399370495143</v>
      </c>
      <c r="X119" s="316">
        <f t="shared" si="143"/>
        <v>50482.355592243279</v>
      </c>
      <c r="Y119" s="316">
        <f t="shared" si="143"/>
        <v>49540.228631003025</v>
      </c>
      <c r="Z119" s="316">
        <f t="shared" si="143"/>
        <v>48615.684114176933</v>
      </c>
      <c r="AA119" s="316">
        <f t="shared" si="143"/>
        <v>47708.393909396102</v>
      </c>
      <c r="AB119" s="316">
        <f t="shared" si="143"/>
        <v>46818.036008062008</v>
      </c>
      <c r="AC119" s="316">
        <f t="shared" si="143"/>
        <v>45944.294411061543</v>
      </c>
      <c r="AD119" s="316">
        <f t="shared" si="143"/>
        <v>45086.859016615104</v>
      </c>
      <c r="AE119" s="316">
        <f t="shared" si="143"/>
        <v>44245.42551021753</v>
      </c>
      <c r="AF119" s="316">
        <f t="shared" si="143"/>
        <v>43419.695256633095</v>
      </c>
      <c r="AG119" s="316">
        <f t="shared" si="143"/>
        <v>42609.375193906191</v>
      </c>
      <c r="AH119" s="316">
        <f t="shared" si="143"/>
        <v>41814.177729349918</v>
      </c>
      <c r="AI119" s="316">
        <f t="shared" ref="AI119:AS119" si="144">AI83</f>
        <v>41033.820637475925</v>
      </c>
      <c r="AJ119" s="316">
        <f t="shared" si="144"/>
        <v>40623.482431101154</v>
      </c>
      <c r="AK119" s="316">
        <f t="shared" si="144"/>
        <v>40217.247606790152</v>
      </c>
      <c r="AL119" s="316">
        <f t="shared" si="144"/>
        <v>39815.075130722253</v>
      </c>
      <c r="AM119" s="316">
        <f t="shared" si="144"/>
        <v>39416.924379415032</v>
      </c>
      <c r="AN119" s="316">
        <f t="shared" si="144"/>
        <v>39022.755135620879</v>
      </c>
      <c r="AO119" s="316">
        <f t="shared" si="144"/>
        <v>38632.527584264666</v>
      </c>
      <c r="AP119" s="316">
        <f t="shared" si="144"/>
        <v>38246.202308422027</v>
      </c>
      <c r="AQ119" s="316">
        <f t="shared" si="144"/>
        <v>37863.740285337801</v>
      </c>
      <c r="AR119" s="316">
        <f t="shared" si="144"/>
        <v>37485.102882484425</v>
      </c>
      <c r="AS119" s="316">
        <f t="shared" si="144"/>
        <v>37110.251853659589</v>
      </c>
      <c r="AU119" s="41"/>
    </row>
    <row r="120" spans="1:47" x14ac:dyDescent="0.3">
      <c r="A120" s="337"/>
      <c r="B120" s="338">
        <f t="shared" si="120"/>
        <v>55</v>
      </c>
      <c r="C120" s="679" t="s">
        <v>402</v>
      </c>
      <c r="D120" s="680"/>
      <c r="E120" s="680"/>
      <c r="F120" s="680"/>
      <c r="G120" s="681"/>
      <c r="H120" s="317"/>
      <c r="I120" s="313" t="s">
        <v>407</v>
      </c>
      <c r="J120" s="317"/>
      <c r="K120" s="317"/>
      <c r="L120" s="317"/>
      <c r="M120" s="340">
        <f>IF(M117&lt;M116,M119*M117/1000,M116*M119/1000)</f>
        <v>17005.714285714279</v>
      </c>
      <c r="N120" s="340">
        <f t="shared" ref="N120:AH120" si="145">IF(N117&lt;N116,N119*N117/1000,N116*N119/1000)</f>
        <v>14724.342857142856</v>
      </c>
      <c r="O120" s="340">
        <f t="shared" si="145"/>
        <v>14289.492575759983</v>
      </c>
      <c r="P120" s="340">
        <f t="shared" si="145"/>
        <v>14465.983428490998</v>
      </c>
      <c r="Q120" s="340">
        <f t="shared" si="145"/>
        <v>14758.398165027354</v>
      </c>
      <c r="R120" s="340">
        <f t="shared" si="145"/>
        <v>15114.972527398089</v>
      </c>
      <c r="S120" s="340">
        <f t="shared" si="145"/>
        <v>15714.75526452918</v>
      </c>
      <c r="T120" s="340">
        <f t="shared" si="145"/>
        <v>16424.166461435816</v>
      </c>
      <c r="U120" s="340">
        <f t="shared" si="145"/>
        <v>17082.676991540626</v>
      </c>
      <c r="V120" s="340">
        <f t="shared" si="145"/>
        <v>17767.589842839458</v>
      </c>
      <c r="W120" s="340">
        <f t="shared" si="145"/>
        <v>18479.963589998264</v>
      </c>
      <c r="X120" s="340">
        <f t="shared" si="145"/>
        <v>19220.899250175655</v>
      </c>
      <c r="Y120" s="340">
        <f t="shared" si="145"/>
        <v>19991.541984712196</v>
      </c>
      <c r="Z120" s="340">
        <f t="shared" si="145"/>
        <v>20793.082869047248</v>
      </c>
      <c r="AA120" s="340">
        <f t="shared" si="145"/>
        <v>21626.760733598829</v>
      </c>
      <c r="AB120" s="340">
        <f t="shared" si="145"/>
        <v>22493.864078451741</v>
      </c>
      <c r="AC120" s="340">
        <f t="shared" si="145"/>
        <v>23395.73306481319</v>
      </c>
      <c r="AD120" s="340">
        <f t="shared" si="145"/>
        <v>24333.761586313805</v>
      </c>
      <c r="AE120" s="340">
        <f t="shared" si="145"/>
        <v>25309.399423355477</v>
      </c>
      <c r="AF120" s="340">
        <f t="shared" si="145"/>
        <v>26324.154483835489</v>
      </c>
      <c r="AG120" s="340">
        <f t="shared" si="145"/>
        <v>27379.595133710394</v>
      </c>
      <c r="AH120" s="340">
        <f t="shared" si="145"/>
        <v>28477.352621001381</v>
      </c>
      <c r="AI120" s="340">
        <f t="shared" ref="AI120:AS120" si="146">IF(AI117&lt;AI116,AI119*AI117/1000,AI116*AI119/1000)</f>
        <v>29619.123596987818</v>
      </c>
      <c r="AJ120" s="340">
        <f t="shared" si="146"/>
        <v>30806.672738485442</v>
      </c>
      <c r="AK120" s="340">
        <f t="shared" si="146"/>
        <v>32041.835475262276</v>
      </c>
      <c r="AL120" s="340">
        <f t="shared" si="146"/>
        <v>33326.520826807442</v>
      </c>
      <c r="AM120" s="340">
        <f t="shared" si="146"/>
        <v>34662.714352837465</v>
      </c>
      <c r="AN120" s="340">
        <f t="shared" si="146"/>
        <v>36052.481222100141</v>
      </c>
      <c r="AO120" s="340">
        <f t="shared" si="146"/>
        <v>37497.969404219017</v>
      </c>
      <c r="AP120" s="340">
        <f t="shared" si="146"/>
        <v>39001.412989511773</v>
      </c>
      <c r="AQ120" s="340">
        <f t="shared" si="146"/>
        <v>40565.135641913257</v>
      </c>
      <c r="AR120" s="340">
        <f t="shared" si="146"/>
        <v>42191.554190340132</v>
      </c>
      <c r="AS120" s="340">
        <f t="shared" si="146"/>
        <v>43883.182364047621</v>
      </c>
      <c r="AT120" s="320"/>
      <c r="AU120" s="337"/>
    </row>
    <row r="121" spans="1:47" x14ac:dyDescent="0.3">
      <c r="A121" s="337"/>
      <c r="B121" s="338">
        <f t="shared" si="120"/>
        <v>56</v>
      </c>
      <c r="C121" s="679" t="s">
        <v>403</v>
      </c>
      <c r="D121" s="680"/>
      <c r="E121" s="680"/>
      <c r="F121" s="680"/>
      <c r="G121" s="681"/>
      <c r="H121" s="317"/>
      <c r="I121" s="313" t="s">
        <v>407</v>
      </c>
      <c r="J121" s="317"/>
      <c r="K121" s="317"/>
      <c r="L121" s="317"/>
      <c r="M121" s="340">
        <f>M119*M118/1000</f>
        <v>15184.316715948724</v>
      </c>
      <c r="N121" s="340">
        <f t="shared" ref="N121:AH121" si="147">N119*N118/1000</f>
        <v>29557.525249008457</v>
      </c>
      <c r="O121" s="340">
        <f t="shared" si="147"/>
        <v>34866.087960921344</v>
      </c>
      <c r="P121" s="340">
        <f t="shared" si="147"/>
        <v>38209.738106626857</v>
      </c>
      <c r="Q121" s="340">
        <f t="shared" si="147"/>
        <v>33920.52007028331</v>
      </c>
      <c r="R121" s="340">
        <f t="shared" si="147"/>
        <v>33305.58342259741</v>
      </c>
      <c r="S121" s="340">
        <f t="shared" si="147"/>
        <v>31937.219157362204</v>
      </c>
      <c r="T121" s="340">
        <f t="shared" si="147"/>
        <v>30721.909615023007</v>
      </c>
      <c r="U121" s="340">
        <f t="shared" si="147"/>
        <v>29511.699203385655</v>
      </c>
      <c r="V121" s="340">
        <f t="shared" si="147"/>
        <v>28292.282247875679</v>
      </c>
      <c r="W121" s="340">
        <f t="shared" si="147"/>
        <v>27060.968014019203</v>
      </c>
      <c r="X121" s="340">
        <f t="shared" si="147"/>
        <v>26286.796418877027</v>
      </c>
      <c r="Y121" s="340">
        <f t="shared" si="147"/>
        <v>25377.792119214726</v>
      </c>
      <c r="Z121" s="340">
        <f t="shared" si="147"/>
        <v>24452.121969486103</v>
      </c>
      <c r="AA121" s="340">
        <f t="shared" si="147"/>
        <v>23509.375486368594</v>
      </c>
      <c r="AB121" s="340">
        <f t="shared" si="147"/>
        <v>22547.774196178994</v>
      </c>
      <c r="AC121" s="340">
        <f t="shared" si="147"/>
        <v>21700.958525286889</v>
      </c>
      <c r="AD121" s="340">
        <f t="shared" si="147"/>
        <v>20832.667702880928</v>
      </c>
      <c r="AE121" s="340">
        <f t="shared" si="147"/>
        <v>19941.661577740095</v>
      </c>
      <c r="AF121" s="340">
        <f t="shared" si="147"/>
        <v>19026.651386598285</v>
      </c>
      <c r="AG121" s="340">
        <f t="shared" si="147"/>
        <v>18086.297626391526</v>
      </c>
      <c r="AH121" s="340">
        <f t="shared" si="147"/>
        <v>17119.207839909483</v>
      </c>
      <c r="AI121" s="340">
        <f t="shared" ref="AI121:AS121" si="148">AI119*AI118/1000</f>
        <v>16123.934311313422</v>
      </c>
      <c r="AJ121" s="340">
        <f t="shared" si="148"/>
        <v>18414.651332104604</v>
      </c>
      <c r="AK121" s="340">
        <f t="shared" si="148"/>
        <v>20636.091243015951</v>
      </c>
      <c r="AL121" s="340">
        <f t="shared" si="148"/>
        <v>22788.019161864195</v>
      </c>
      <c r="AM121" s="340">
        <f t="shared" si="148"/>
        <v>24868.617512221157</v>
      </c>
      <c r="AN121" s="340">
        <f t="shared" si="148"/>
        <v>26876.779085478258</v>
      </c>
      <c r="AO121" s="340">
        <f t="shared" si="148"/>
        <v>28811.330596856289</v>
      </c>
      <c r="AP121" s="340">
        <f t="shared" si="148"/>
        <v>30671.030290303544</v>
      </c>
      <c r="AQ121" s="340">
        <f t="shared" si="148"/>
        <v>32454.565443136307</v>
      </c>
      <c r="AR121" s="340">
        <f t="shared" si="148"/>
        <v>34160.549766478551</v>
      </c>
      <c r="AS121" s="340">
        <f t="shared" si="148"/>
        <v>35787.52069740001</v>
      </c>
      <c r="AT121" s="320"/>
      <c r="AU121" s="337"/>
    </row>
    <row r="122" spans="1:47" x14ac:dyDescent="0.3">
      <c r="A122" s="41"/>
      <c r="AA122" s="43"/>
      <c r="AB122" s="43"/>
      <c r="AC122" s="43"/>
      <c r="AD122" s="43"/>
      <c r="AE122" s="43"/>
      <c r="AF122" s="43"/>
      <c r="AG122" s="43"/>
      <c r="AU122" s="41"/>
    </row>
    <row r="123" spans="1:47" x14ac:dyDescent="0.3">
      <c r="A123" s="41"/>
      <c r="C123" s="614" t="s">
        <v>404</v>
      </c>
      <c r="D123" s="614"/>
      <c r="E123" s="614"/>
      <c r="F123" s="614"/>
      <c r="G123" s="614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U123" s="41"/>
    </row>
    <row r="124" spans="1:47" x14ac:dyDescent="0.3">
      <c r="A124" s="41"/>
      <c r="B124" s="296">
        <f>B121+1</f>
        <v>57</v>
      </c>
      <c r="C124" s="598" t="s">
        <v>397</v>
      </c>
      <c r="D124" s="599"/>
      <c r="E124" s="599"/>
      <c r="F124" s="599"/>
      <c r="G124" s="600"/>
      <c r="H124" s="43"/>
      <c r="I124" s="315" t="s">
        <v>395</v>
      </c>
      <c r="J124" s="43"/>
      <c r="K124" s="43"/>
      <c r="L124" s="43"/>
      <c r="M124" s="326">
        <f>M115</f>
        <v>432.66170701159962</v>
      </c>
      <c r="N124" s="326">
        <f t="shared" ref="N124:AH124" si="149">N115</f>
        <v>687.4038421296716</v>
      </c>
      <c r="O124" s="326">
        <f t="shared" si="149"/>
        <v>786.28133266163934</v>
      </c>
      <c r="P124" s="326">
        <f t="shared" si="149"/>
        <v>868.20405711823003</v>
      </c>
      <c r="Q124" s="326">
        <f t="shared" si="149"/>
        <v>826.69535101452595</v>
      </c>
      <c r="R124" s="326">
        <f t="shared" si="149"/>
        <v>847.25607858022875</v>
      </c>
      <c r="S124" s="326">
        <f t="shared" si="149"/>
        <v>859.0793166067217</v>
      </c>
      <c r="T124" s="326">
        <f t="shared" si="149"/>
        <v>866.1228987454341</v>
      </c>
      <c r="U124" s="326">
        <f t="shared" si="149"/>
        <v>872.26626201088663</v>
      </c>
      <c r="V124" s="326">
        <f t="shared" si="149"/>
        <v>878.65807740194259</v>
      </c>
      <c r="W124" s="326">
        <f t="shared" si="149"/>
        <v>885.2800833807438</v>
      </c>
      <c r="X124" s="326">
        <f t="shared" si="149"/>
        <v>901.4574525132706</v>
      </c>
      <c r="Y124" s="326">
        <f t="shared" si="149"/>
        <v>915.80792736862952</v>
      </c>
      <c r="Z124" s="326">
        <f t="shared" si="149"/>
        <v>930.67094833577153</v>
      </c>
      <c r="AA124" s="326">
        <f t="shared" si="149"/>
        <v>946.08375007731968</v>
      </c>
      <c r="AB124" s="326">
        <f t="shared" si="149"/>
        <v>962.05740597223303</v>
      </c>
      <c r="AC124" s="326">
        <f t="shared" si="149"/>
        <v>981.55151076262052</v>
      </c>
      <c r="AD124" s="326">
        <f t="shared" si="149"/>
        <v>1001.7648218198191</v>
      </c>
      <c r="AE124" s="326">
        <f t="shared" si="149"/>
        <v>1022.7285754240471</v>
      </c>
      <c r="AF124" s="326">
        <f t="shared" si="149"/>
        <v>1044.4754529571617</v>
      </c>
      <c r="AG124" s="326">
        <f t="shared" si="149"/>
        <v>1067.0396492132618</v>
      </c>
      <c r="AH124" s="326">
        <f t="shared" si="149"/>
        <v>1090.456943959131</v>
      </c>
      <c r="AI124" s="326">
        <f t="shared" ref="AI124:AS124" si="150">AI115</f>
        <v>1114.7647769002626</v>
      </c>
      <c r="AJ124" s="326">
        <f t="shared" si="150"/>
        <v>1211.6470850097878</v>
      </c>
      <c r="AK124" s="326">
        <f t="shared" si="150"/>
        <v>1309.8342092755313</v>
      </c>
      <c r="AL124" s="326">
        <f t="shared" si="150"/>
        <v>1409.3792314703517</v>
      </c>
      <c r="AM124" s="326">
        <f t="shared" si="150"/>
        <v>1510.2987562405574</v>
      </c>
      <c r="AN124" s="326">
        <f t="shared" si="150"/>
        <v>1612.6298640081181</v>
      </c>
      <c r="AO124" s="326">
        <f t="shared" si="150"/>
        <v>1716.4111215980497</v>
      </c>
      <c r="AP124" s="326">
        <f t="shared" si="150"/>
        <v>1821.6826527760393</v>
      </c>
      <c r="AQ124" s="326">
        <f t="shared" si="150"/>
        <v>1928.4862122648092</v>
      </c>
      <c r="AR124" s="326">
        <f t="shared" si="150"/>
        <v>2036.8652634136306</v>
      </c>
      <c r="AS124" s="326">
        <f t="shared" si="150"/>
        <v>2146.8650597042765</v>
      </c>
      <c r="AU124" s="41"/>
    </row>
    <row r="125" spans="1:47" x14ac:dyDescent="0.3">
      <c r="A125" s="41"/>
      <c r="B125" s="300">
        <f>B124+1</f>
        <v>58</v>
      </c>
      <c r="C125" s="598" t="s">
        <v>401</v>
      </c>
      <c r="D125" s="599"/>
      <c r="E125" s="599"/>
      <c r="F125" s="599"/>
      <c r="G125" s="600"/>
      <c r="H125" s="43"/>
      <c r="I125" s="315" t="s">
        <v>175</v>
      </c>
      <c r="J125" s="43"/>
      <c r="K125" s="43"/>
      <c r="L125" s="43"/>
      <c r="M125" s="326">
        <f>M87</f>
        <v>18959</v>
      </c>
      <c r="N125" s="326">
        <f t="shared" ref="N125:AH125" si="151">N87</f>
        <v>20149</v>
      </c>
      <c r="O125" s="326">
        <f t="shared" si="151"/>
        <v>19796.392499999998</v>
      </c>
      <c r="P125" s="326">
        <f t="shared" si="151"/>
        <v>19449.955631249995</v>
      </c>
      <c r="Q125" s="326">
        <f t="shared" si="151"/>
        <v>19109.581407703125</v>
      </c>
      <c r="R125" s="326">
        <f t="shared" si="151"/>
        <v>18775.163733068319</v>
      </c>
      <c r="S125" s="326">
        <f t="shared" si="151"/>
        <v>18446.598367739625</v>
      </c>
      <c r="T125" s="326">
        <f t="shared" si="151"/>
        <v>18123.782896304183</v>
      </c>
      <c r="U125" s="326">
        <f t="shared" si="151"/>
        <v>17806.616695618857</v>
      </c>
      <c r="V125" s="326">
        <f t="shared" si="151"/>
        <v>17495.000903445532</v>
      </c>
      <c r="W125" s="326">
        <f t="shared" si="151"/>
        <v>17188.838387635235</v>
      </c>
      <c r="X125" s="326">
        <f t="shared" si="151"/>
        <v>16888.033715851612</v>
      </c>
      <c r="Y125" s="326">
        <f t="shared" si="151"/>
        <v>16888.033715851612</v>
      </c>
      <c r="Z125" s="326">
        <f t="shared" si="151"/>
        <v>16888.033715851612</v>
      </c>
      <c r="AA125" s="326">
        <f t="shared" si="151"/>
        <v>16888.033715851612</v>
      </c>
      <c r="AB125" s="326">
        <f t="shared" si="151"/>
        <v>16888.033715851612</v>
      </c>
      <c r="AC125" s="326">
        <f t="shared" si="151"/>
        <v>16888.033715851612</v>
      </c>
      <c r="AD125" s="326">
        <f t="shared" si="151"/>
        <v>16888.033715851612</v>
      </c>
      <c r="AE125" s="326">
        <f t="shared" si="151"/>
        <v>16888.033715851612</v>
      </c>
      <c r="AF125" s="326">
        <f t="shared" si="151"/>
        <v>16888.033715851612</v>
      </c>
      <c r="AG125" s="326">
        <f t="shared" si="151"/>
        <v>16888.033715851612</v>
      </c>
      <c r="AH125" s="326">
        <f t="shared" si="151"/>
        <v>16888.033715851612</v>
      </c>
      <c r="AI125" s="326">
        <f t="shared" ref="AI125:AS125" si="152">AI87</f>
        <v>16888.033715851612</v>
      </c>
      <c r="AJ125" s="326">
        <f t="shared" si="152"/>
        <v>16888.033715851612</v>
      </c>
      <c r="AK125" s="326">
        <f t="shared" si="152"/>
        <v>16888.033715851612</v>
      </c>
      <c r="AL125" s="326">
        <f t="shared" si="152"/>
        <v>16888.033715851612</v>
      </c>
      <c r="AM125" s="326">
        <f t="shared" si="152"/>
        <v>16888.033715851612</v>
      </c>
      <c r="AN125" s="326">
        <f t="shared" si="152"/>
        <v>16888.033715851612</v>
      </c>
      <c r="AO125" s="326">
        <f t="shared" si="152"/>
        <v>16888.033715851612</v>
      </c>
      <c r="AP125" s="326">
        <f t="shared" si="152"/>
        <v>16888.033715851612</v>
      </c>
      <c r="AQ125" s="326">
        <f t="shared" si="152"/>
        <v>16888.033715851612</v>
      </c>
      <c r="AR125" s="326">
        <f t="shared" si="152"/>
        <v>16888.033715851612</v>
      </c>
      <c r="AS125" s="326">
        <f t="shared" si="152"/>
        <v>16888.033715851612</v>
      </c>
      <c r="AU125" s="41"/>
    </row>
    <row r="126" spans="1:47" x14ac:dyDescent="0.3">
      <c r="A126" s="337"/>
      <c r="B126" s="338">
        <f>B125+1</f>
        <v>59</v>
      </c>
      <c r="C126" s="679" t="s">
        <v>402</v>
      </c>
      <c r="D126" s="680"/>
      <c r="E126" s="680"/>
      <c r="F126" s="680"/>
      <c r="G126" s="681"/>
      <c r="H126" s="317"/>
      <c r="I126" s="313" t="s">
        <v>407</v>
      </c>
      <c r="J126" s="317"/>
      <c r="K126" s="317"/>
      <c r="L126" s="317"/>
      <c r="M126" s="342">
        <f>M124*M125/1000</f>
        <v>8202.8333032329174</v>
      </c>
      <c r="N126" s="342">
        <f t="shared" ref="N126" si="153">N124*N125/1000</f>
        <v>13850.500015070753</v>
      </c>
      <c r="O126" s="342">
        <f t="shared" ref="O126" si="154">O124*O125/1000</f>
        <v>15565.533876792881</v>
      </c>
      <c r="P126" s="342">
        <f t="shared" ref="P126" si="155">P124*P125/1000</f>
        <v>16886.530389820811</v>
      </c>
      <c r="Q126" s="342">
        <f t="shared" ref="Q126" si="156">Q124*Q125/1000</f>
        <v>15797.802109581793</v>
      </c>
      <c r="R126" s="342">
        <f t="shared" ref="R126" si="157">R124*R125/1000</f>
        <v>15907.371599181191</v>
      </c>
      <c r="S126" s="342">
        <f t="shared" ref="S126" si="158">S124*S125/1000</f>
        <v>15847.091119476425</v>
      </c>
      <c r="T126" s="342">
        <f t="shared" ref="T126" si="159">T124*T125/1000</f>
        <v>15697.423378379897</v>
      </c>
      <c r="U126" s="342">
        <f t="shared" ref="U126" si="160">U124*U125/1000</f>
        <v>15532.110984148105</v>
      </c>
      <c r="V126" s="342">
        <f t="shared" ref="V126" si="161">V124*V125/1000</f>
        <v>15372.123857966701</v>
      </c>
      <c r="W126" s="342">
        <f t="shared" ref="W126" si="162">W124*W125/1000</f>
        <v>15216.936281023851</v>
      </c>
      <c r="X126" s="342">
        <f t="shared" ref="X126" si="163">X124*X125/1000</f>
        <v>15223.843851449818</v>
      </c>
      <c r="Y126" s="342">
        <f t="shared" ref="Y126" si="164">Y124*Y125/1000</f>
        <v>15466.1951546456</v>
      </c>
      <c r="Z126" s="342">
        <f t="shared" ref="Z126" si="165">Z124*Z125/1000</f>
        <v>15717.202353858103</v>
      </c>
      <c r="AA126" s="342">
        <f t="shared" ref="AA126" si="166">AA124*AA125/1000</f>
        <v>15977.494269325105</v>
      </c>
      <c r="AB126" s="342">
        <f t="shared" ref="AB126" si="167">AB124*AB125/1000</f>
        <v>16247.257908643815</v>
      </c>
      <c r="AC126" s="342">
        <f t="shared" ref="AC126" si="168">AC124*AC125/1000</f>
        <v>16576.475007604222</v>
      </c>
      <c r="AD126" s="342">
        <f t="shared" ref="AD126" si="169">AD124*AD125/1000</f>
        <v>16917.838086247186</v>
      </c>
      <c r="AE126" s="342">
        <f t="shared" ref="AE126" si="170">AE124*AE125/1000</f>
        <v>17271.874663926195</v>
      </c>
      <c r="AF126" s="342">
        <f t="shared" ref="AF126" si="171">AF124*AF125/1000</f>
        <v>17639.13666491993</v>
      </c>
      <c r="AG126" s="342">
        <f t="shared" ref="AG126" si="172">AG124*AG125/1000</f>
        <v>18020.201572064041</v>
      </c>
      <c r="AH126" s="342">
        <f t="shared" ref="AH126:AI126" si="173">AH124*AH125/1000</f>
        <v>18415.673635266314</v>
      </c>
      <c r="AI126" s="342">
        <f t="shared" si="173"/>
        <v>18826.185137535434</v>
      </c>
      <c r="AJ126" s="342">
        <f t="shared" ref="AJ126:AS126" si="174">AJ124*AJ125/1000</f>
        <v>20462.336823358622</v>
      </c>
      <c r="AK126" s="342">
        <f t="shared" si="174"/>
        <v>22120.524288421009</v>
      </c>
      <c r="AL126" s="342">
        <f t="shared" si="174"/>
        <v>23801.643979492332</v>
      </c>
      <c r="AM126" s="342">
        <f t="shared" si="174"/>
        <v>25505.976316399287</v>
      </c>
      <c r="AN126" s="342">
        <f t="shared" si="174"/>
        <v>27234.147514558299</v>
      </c>
      <c r="AO126" s="342">
        <f t="shared" si="174"/>
        <v>28986.808891810542</v>
      </c>
      <c r="AP126" s="342">
        <f t="shared" si="174"/>
        <v>30764.638059663757</v>
      </c>
      <c r="AQ126" s="342">
        <f t="shared" si="174"/>
        <v>32568.340173283068</v>
      </c>
      <c r="AR126" s="342">
        <f t="shared" si="174"/>
        <v>34398.649243176369</v>
      </c>
      <c r="AS126" s="342">
        <f t="shared" si="174"/>
        <v>36256.329511669603</v>
      </c>
      <c r="AT126" s="320"/>
      <c r="AU126" s="337"/>
    </row>
    <row r="127" spans="1:47" x14ac:dyDescent="0.3">
      <c r="A127" s="41"/>
      <c r="B127" s="300"/>
      <c r="C127" s="329"/>
      <c r="D127" s="329"/>
      <c r="E127" s="329"/>
      <c r="F127" s="329"/>
      <c r="G127" s="329"/>
      <c r="H127" s="43"/>
      <c r="I127" s="305"/>
      <c r="J127" s="43"/>
      <c r="K127" s="43"/>
      <c r="L127" s="43"/>
      <c r="M127" s="45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43"/>
      <c r="AB127" s="43"/>
      <c r="AC127" s="43"/>
      <c r="AD127" s="43"/>
      <c r="AE127" s="43"/>
      <c r="AF127" s="43"/>
      <c r="AG127" s="43"/>
      <c r="AU127" s="41"/>
    </row>
    <row r="128" spans="1:47" x14ac:dyDescent="0.3">
      <c r="A128" s="337"/>
      <c r="B128" s="338">
        <f>B126+1</f>
        <v>60</v>
      </c>
      <c r="C128" s="679" t="s">
        <v>408</v>
      </c>
      <c r="D128" s="680"/>
      <c r="E128" s="680"/>
      <c r="F128" s="680"/>
      <c r="G128" s="681"/>
      <c r="H128" s="317"/>
      <c r="I128" s="313" t="s">
        <v>407</v>
      </c>
      <c r="J128" s="317"/>
      <c r="K128" s="317"/>
      <c r="L128" s="317"/>
      <c r="M128" s="342">
        <f>M120+M121+M126</f>
        <v>40392.86430489592</v>
      </c>
      <c r="N128" s="342">
        <f t="shared" ref="N128:AH128" si="175">N120+N121+N126</f>
        <v>58132.368121222069</v>
      </c>
      <c r="O128" s="342">
        <f t="shared" si="175"/>
        <v>64721.114413474206</v>
      </c>
      <c r="P128" s="342">
        <f t="shared" si="175"/>
        <v>69562.251924938668</v>
      </c>
      <c r="Q128" s="342">
        <f t="shared" si="175"/>
        <v>64476.720344892456</v>
      </c>
      <c r="R128" s="342">
        <f t="shared" si="175"/>
        <v>64327.927549176689</v>
      </c>
      <c r="S128" s="342">
        <f t="shared" si="175"/>
        <v>63499.065541367811</v>
      </c>
      <c r="T128" s="342">
        <f t="shared" si="175"/>
        <v>62843.499454838719</v>
      </c>
      <c r="U128" s="342">
        <f t="shared" si="175"/>
        <v>62126.487179074393</v>
      </c>
      <c r="V128" s="342">
        <f t="shared" si="175"/>
        <v>61431.995948681841</v>
      </c>
      <c r="W128" s="342">
        <f t="shared" si="175"/>
        <v>60757.86788504132</v>
      </c>
      <c r="X128" s="342">
        <f t="shared" si="175"/>
        <v>60731.539520502505</v>
      </c>
      <c r="Y128" s="342">
        <f t="shared" si="175"/>
        <v>60835.529258572526</v>
      </c>
      <c r="Z128" s="342">
        <f t="shared" si="175"/>
        <v>60962.407192391453</v>
      </c>
      <c r="AA128" s="342">
        <f t="shared" si="175"/>
        <v>61113.630489292525</v>
      </c>
      <c r="AB128" s="342">
        <f t="shared" si="175"/>
        <v>61288.896183274548</v>
      </c>
      <c r="AC128" s="342">
        <f t="shared" si="175"/>
        <v>61673.166597704301</v>
      </c>
      <c r="AD128" s="342">
        <f t="shared" si="175"/>
        <v>62084.267375441923</v>
      </c>
      <c r="AE128" s="342">
        <f t="shared" si="175"/>
        <v>62522.935665021767</v>
      </c>
      <c r="AF128" s="342">
        <f t="shared" si="175"/>
        <v>62989.942535353708</v>
      </c>
      <c r="AG128" s="342">
        <f t="shared" si="175"/>
        <v>63486.094332165965</v>
      </c>
      <c r="AH128" s="342">
        <f t="shared" si="175"/>
        <v>64012.234096177177</v>
      </c>
      <c r="AI128" s="342">
        <f t="shared" ref="AI128:AS128" si="176">AI120+AI121+AI126</f>
        <v>64569.243045836673</v>
      </c>
      <c r="AJ128" s="342">
        <f t="shared" si="176"/>
        <v>69683.660893948661</v>
      </c>
      <c r="AK128" s="342">
        <f t="shared" si="176"/>
        <v>74798.451006699237</v>
      </c>
      <c r="AL128" s="342">
        <f t="shared" si="176"/>
        <v>79916.183968163969</v>
      </c>
      <c r="AM128" s="342">
        <f t="shared" si="176"/>
        <v>85037.308181457905</v>
      </c>
      <c r="AN128" s="342">
        <f t="shared" si="176"/>
        <v>90163.407822136694</v>
      </c>
      <c r="AO128" s="342">
        <f t="shared" si="176"/>
        <v>95296.108892885852</v>
      </c>
      <c r="AP128" s="342">
        <f t="shared" si="176"/>
        <v>100437.08133947907</v>
      </c>
      <c r="AQ128" s="342">
        <f t="shared" si="176"/>
        <v>105588.04125833264</v>
      </c>
      <c r="AR128" s="342">
        <f t="shared" si="176"/>
        <v>110750.75319999506</v>
      </c>
      <c r="AS128" s="342">
        <f t="shared" si="176"/>
        <v>115927.03257311723</v>
      </c>
      <c r="AT128" s="320"/>
      <c r="AU128" s="337"/>
    </row>
    <row r="129" spans="1:47" x14ac:dyDescent="0.3">
      <c r="A129" s="41"/>
      <c r="B129" s="300"/>
      <c r="C129" s="329"/>
      <c r="D129" s="329"/>
      <c r="E129" s="329"/>
      <c r="F129" s="329"/>
      <c r="G129" s="329"/>
      <c r="H129" s="43"/>
      <c r="I129" s="305"/>
      <c r="J129" s="43"/>
      <c r="K129" s="43"/>
      <c r="L129" s="43"/>
      <c r="M129" s="45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8"/>
      <c r="AA129" s="478"/>
      <c r="AB129" s="478"/>
      <c r="AC129" s="478"/>
      <c r="AD129" s="478"/>
      <c r="AE129" s="478"/>
      <c r="AF129" s="478"/>
      <c r="AG129" s="478"/>
      <c r="AH129" s="478"/>
      <c r="AI129" s="478"/>
      <c r="AJ129" s="478"/>
      <c r="AK129" s="478"/>
      <c r="AL129" s="478"/>
      <c r="AM129" s="478"/>
      <c r="AN129" s="478"/>
      <c r="AO129" s="478"/>
      <c r="AP129" s="478"/>
      <c r="AQ129" s="478"/>
      <c r="AR129" s="478"/>
      <c r="AS129" s="478"/>
      <c r="AU129" s="41"/>
    </row>
    <row r="130" spans="1:47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</row>
    <row r="131" spans="1:47" x14ac:dyDescent="0.3">
      <c r="A131" s="41"/>
      <c r="B131" s="41"/>
      <c r="C131" s="692" t="s">
        <v>409</v>
      </c>
      <c r="D131" s="692"/>
      <c r="E131" s="692"/>
      <c r="F131" s="692"/>
      <c r="G131" s="692"/>
      <c r="H131" s="692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</row>
    <row r="132" spans="1:47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</row>
    <row r="133" spans="1:47" x14ac:dyDescent="0.3">
      <c r="A133" s="41"/>
      <c r="C133" s="614"/>
      <c r="D133" s="614"/>
      <c r="E133" s="614"/>
      <c r="F133" s="614"/>
      <c r="G133" s="614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U133" s="41"/>
    </row>
    <row r="134" spans="1:47" x14ac:dyDescent="0.3">
      <c r="A134" s="41"/>
      <c r="B134" s="296">
        <f>B128+1</f>
        <v>61</v>
      </c>
      <c r="C134" s="693" t="str">
        <f>C67</f>
        <v>Energie electrica livrata in SEN</v>
      </c>
      <c r="D134" s="694"/>
      <c r="E134" s="694"/>
      <c r="F134" s="694"/>
      <c r="G134" s="695"/>
      <c r="H134" s="43"/>
      <c r="I134" s="315" t="s">
        <v>359</v>
      </c>
      <c r="J134" s="43"/>
      <c r="K134" s="43"/>
      <c r="L134" s="43"/>
      <c r="M134" s="326">
        <f>M98</f>
        <v>201770</v>
      </c>
      <c r="N134" s="326">
        <f t="shared" ref="N134:AH134" si="177">N98</f>
        <v>197406.09</v>
      </c>
      <c r="O134" s="326">
        <f t="shared" si="177"/>
        <v>194599.44308140586</v>
      </c>
      <c r="P134" s="326">
        <f t="shared" si="177"/>
        <v>191700.34870759881</v>
      </c>
      <c r="Q134" s="326">
        <f t="shared" si="177"/>
        <v>188883.60455645999</v>
      </c>
      <c r="R134" s="326">
        <f t="shared" si="177"/>
        <v>186146.7390270379</v>
      </c>
      <c r="S134" s="326">
        <f t="shared" si="177"/>
        <v>183487.35800283818</v>
      </c>
      <c r="T134" s="326">
        <f t="shared" si="177"/>
        <v>181690.40657190548</v>
      </c>
      <c r="U134" s="326">
        <f t="shared" si="177"/>
        <v>179926.49417289862</v>
      </c>
      <c r="V134" s="326">
        <f t="shared" si="177"/>
        <v>178195.01290493199</v>
      </c>
      <c r="W134" s="326">
        <f t="shared" si="177"/>
        <v>176495.36605999444</v>
      </c>
      <c r="X134" s="326">
        <f t="shared" si="177"/>
        <v>174826.96791672354</v>
      </c>
      <c r="Y134" s="326">
        <f t="shared" si="177"/>
        <v>173580.31303697612</v>
      </c>
      <c r="Z134" s="326">
        <f t="shared" si="177"/>
        <v>172356.92385392197</v>
      </c>
      <c r="AA134" s="326">
        <f t="shared" si="177"/>
        <v>171156.36617149657</v>
      </c>
      <c r="AB134" s="326">
        <f t="shared" si="177"/>
        <v>169978.21389681948</v>
      </c>
      <c r="AC134" s="326">
        <f t="shared" si="177"/>
        <v>168822.04888896851</v>
      </c>
      <c r="AD134" s="326">
        <f t="shared" si="177"/>
        <v>167687.46081057657</v>
      </c>
      <c r="AE134" s="326">
        <f t="shared" si="177"/>
        <v>166574.04698219761</v>
      </c>
      <c r="AF134" s="326">
        <f t="shared" si="177"/>
        <v>165481.4122393908</v>
      </c>
      <c r="AG134" s="326">
        <f t="shared" si="177"/>
        <v>164409.16879247158</v>
      </c>
      <c r="AH134" s="326">
        <f t="shared" si="177"/>
        <v>163356.93608888052</v>
      </c>
      <c r="AI134" s="326">
        <f t="shared" ref="AI134:AS134" si="178">AI98</f>
        <v>162324.34067812024</v>
      </c>
      <c r="AJ134" s="326">
        <f t="shared" si="178"/>
        <v>161781.3670149417</v>
      </c>
      <c r="AK134" s="326">
        <f t="shared" si="178"/>
        <v>161243.82308839491</v>
      </c>
      <c r="AL134" s="326">
        <f t="shared" si="178"/>
        <v>160711.65460111364</v>
      </c>
      <c r="AM134" s="326">
        <f t="shared" si="178"/>
        <v>160184.80779870515</v>
      </c>
      <c r="AN134" s="326">
        <f t="shared" si="178"/>
        <v>159663.2294643207</v>
      </c>
      <c r="AO134" s="326">
        <f t="shared" si="178"/>
        <v>159146.86691328019</v>
      </c>
      <c r="AP134" s="326">
        <f t="shared" si="178"/>
        <v>158635.66798775003</v>
      </c>
      <c r="AQ134" s="326">
        <f t="shared" si="178"/>
        <v>158129.58105147519</v>
      </c>
      <c r="AR134" s="326">
        <f t="shared" si="178"/>
        <v>157628.55498456303</v>
      </c>
      <c r="AS134" s="326">
        <f t="shared" si="178"/>
        <v>157132.53917832006</v>
      </c>
      <c r="AU134" s="41"/>
    </row>
    <row r="135" spans="1:47" x14ac:dyDescent="0.3">
      <c r="A135" s="41"/>
      <c r="B135" s="300">
        <f>B134+1</f>
        <v>62</v>
      </c>
      <c r="C135" s="693" t="s">
        <v>410</v>
      </c>
      <c r="D135" s="694"/>
      <c r="E135" s="694"/>
      <c r="F135" s="694"/>
      <c r="G135" s="695"/>
      <c r="H135" s="43"/>
      <c r="I135" s="315" t="s">
        <v>144</v>
      </c>
      <c r="J135" s="43"/>
      <c r="K135" s="43"/>
      <c r="L135" s="43"/>
      <c r="M135" s="316">
        <f>M68</f>
        <v>216.11</v>
      </c>
      <c r="N135" s="316">
        <f t="shared" ref="N135:AH135" si="179">N68</f>
        <v>1137.54</v>
      </c>
      <c r="O135" s="316">
        <f t="shared" si="179"/>
        <v>1166.19</v>
      </c>
      <c r="P135" s="316">
        <f t="shared" si="179"/>
        <v>282.45499999999998</v>
      </c>
      <c r="Q135" s="316">
        <f t="shared" si="179"/>
        <v>167.32499999999999</v>
      </c>
      <c r="R135" s="316">
        <f t="shared" si="179"/>
        <v>197.5</v>
      </c>
      <c r="S135" s="316">
        <f t="shared" si="179"/>
        <v>187.69724137931036</v>
      </c>
      <c r="T135" s="316">
        <f t="shared" si="179"/>
        <v>177.48925887802366</v>
      </c>
      <c r="U135" s="316">
        <f t="shared" si="179"/>
        <v>166.81623572633052</v>
      </c>
      <c r="V135" s="316">
        <f t="shared" si="179"/>
        <v>155.63249828892305</v>
      </c>
      <c r="W135" s="316">
        <f t="shared" si="179"/>
        <v>143.88242421785216</v>
      </c>
      <c r="X135" s="316">
        <f t="shared" si="179"/>
        <v>145.24555957204279</v>
      </c>
      <c r="Y135" s="316">
        <f t="shared" si="179"/>
        <v>146.46622917280874</v>
      </c>
      <c r="Z135" s="316">
        <f t="shared" si="179"/>
        <v>147.54041990033522</v>
      </c>
      <c r="AA135" s="316">
        <f t="shared" si="179"/>
        <v>148.46388599018056</v>
      </c>
      <c r="AB135" s="316">
        <f t="shared" si="179"/>
        <v>149.2321281994289</v>
      </c>
      <c r="AC135" s="316">
        <f t="shared" si="179"/>
        <v>154.43212819942889</v>
      </c>
      <c r="AD135" s="316">
        <f t="shared" si="179"/>
        <v>159.63212819942888</v>
      </c>
      <c r="AE135" s="316">
        <f t="shared" si="179"/>
        <v>164.83212819942887</v>
      </c>
      <c r="AF135" s="316">
        <f t="shared" si="179"/>
        <v>170.03212819942885</v>
      </c>
      <c r="AG135" s="316">
        <f t="shared" si="179"/>
        <v>175.23212819942884</v>
      </c>
      <c r="AH135" s="316">
        <f t="shared" si="179"/>
        <v>180.43212819942883</v>
      </c>
      <c r="AI135" s="316">
        <f t="shared" ref="AI135:AS135" si="180">AI68</f>
        <v>185.63212819942882</v>
      </c>
      <c r="AJ135" s="316">
        <f t="shared" si="180"/>
        <v>190.83212819942881</v>
      </c>
      <c r="AK135" s="316">
        <f t="shared" si="180"/>
        <v>196.0321281994288</v>
      </c>
      <c r="AL135" s="316">
        <f t="shared" si="180"/>
        <v>201.23212819942879</v>
      </c>
      <c r="AM135" s="316">
        <f t="shared" si="180"/>
        <v>206.43212819942877</v>
      </c>
      <c r="AN135" s="316">
        <f t="shared" si="180"/>
        <v>211.63212819942876</v>
      </c>
      <c r="AO135" s="316">
        <f t="shared" si="180"/>
        <v>216.83212819942875</v>
      </c>
      <c r="AP135" s="316">
        <f t="shared" si="180"/>
        <v>222.03212819942874</v>
      </c>
      <c r="AQ135" s="316">
        <f t="shared" si="180"/>
        <v>227.23212819942873</v>
      </c>
      <c r="AR135" s="316">
        <f t="shared" si="180"/>
        <v>232.43212819942872</v>
      </c>
      <c r="AS135" s="316">
        <f t="shared" si="180"/>
        <v>237.63212819942871</v>
      </c>
      <c r="AU135" s="41"/>
    </row>
    <row r="136" spans="1:47" x14ac:dyDescent="0.3">
      <c r="A136" s="41"/>
      <c r="B136" s="300">
        <f>B135+1</f>
        <v>63</v>
      </c>
      <c r="C136" s="693" t="s">
        <v>411</v>
      </c>
      <c r="D136" s="694"/>
      <c r="E136" s="694"/>
      <c r="F136" s="694"/>
      <c r="G136" s="695"/>
      <c r="H136" s="43"/>
      <c r="I136" s="315" t="s">
        <v>144</v>
      </c>
      <c r="J136" s="43"/>
      <c r="K136" s="43"/>
      <c r="L136" s="43"/>
      <c r="M136" s="316">
        <f>'1.Input'!O82</f>
        <v>0</v>
      </c>
      <c r="N136" s="316">
        <f>'1.Input'!P82</f>
        <v>0</v>
      </c>
      <c r="O136" s="316">
        <f>'1.Input'!Q82</f>
        <v>0</v>
      </c>
      <c r="P136" s="316">
        <f>'1.Input'!R82</f>
        <v>0</v>
      </c>
      <c r="Q136" s="316">
        <f>'1.Input'!S82</f>
        <v>0</v>
      </c>
      <c r="R136" s="316">
        <f>'1.Input'!T82</f>
        <v>0</v>
      </c>
      <c r="S136" s="316">
        <f>'1.Input'!U82</f>
        <v>0</v>
      </c>
      <c r="T136" s="316">
        <f>'1.Input'!V82</f>
        <v>0</v>
      </c>
      <c r="U136" s="316">
        <f>'1.Input'!W82</f>
        <v>0</v>
      </c>
      <c r="V136" s="316">
        <f>'1.Input'!X82</f>
        <v>0</v>
      </c>
      <c r="W136" s="316">
        <f>'1.Input'!Y82</f>
        <v>0</v>
      </c>
      <c r="X136" s="316">
        <f>'1.Input'!Z82</f>
        <v>0</v>
      </c>
      <c r="Y136" s="316">
        <f>'1.Input'!AA82</f>
        <v>0</v>
      </c>
      <c r="Z136" s="316">
        <f>'1.Input'!AB82</f>
        <v>0</v>
      </c>
      <c r="AA136" s="316">
        <f>'1.Input'!AC82</f>
        <v>0</v>
      </c>
      <c r="AB136" s="316">
        <f>'1.Input'!AD82</f>
        <v>0</v>
      </c>
      <c r="AC136" s="316">
        <f>'1.Input'!AE82</f>
        <v>0</v>
      </c>
      <c r="AD136" s="316">
        <f>'1.Input'!AF82</f>
        <v>0</v>
      </c>
      <c r="AE136" s="316">
        <f>'1.Input'!AG82</f>
        <v>0</v>
      </c>
      <c r="AF136" s="316">
        <f>'1.Input'!AH82</f>
        <v>0</v>
      </c>
      <c r="AG136" s="316">
        <f>'1.Input'!AI82</f>
        <v>0</v>
      </c>
      <c r="AH136" s="316">
        <f>'1.Input'!AJ82</f>
        <v>0</v>
      </c>
      <c r="AI136" s="316">
        <f>'1.Input'!AK82</f>
        <v>0</v>
      </c>
      <c r="AJ136" s="316">
        <f>'1.Input'!AL82</f>
        <v>0</v>
      </c>
      <c r="AK136" s="316">
        <f>'1.Input'!AM82</f>
        <v>0</v>
      </c>
      <c r="AL136" s="316">
        <f>'1.Input'!AN82</f>
        <v>0</v>
      </c>
      <c r="AM136" s="316">
        <f>'1.Input'!AO82</f>
        <v>0</v>
      </c>
      <c r="AN136" s="316">
        <f>'1.Input'!AP82</f>
        <v>0</v>
      </c>
      <c r="AO136" s="316">
        <f>'1.Input'!AQ82</f>
        <v>0</v>
      </c>
      <c r="AP136" s="316">
        <f>'1.Input'!AR82</f>
        <v>0</v>
      </c>
      <c r="AQ136" s="316">
        <f>'1.Input'!AS82</f>
        <v>0</v>
      </c>
      <c r="AR136" s="316">
        <f>'1.Input'!AT82</f>
        <v>0</v>
      </c>
      <c r="AS136" s="316">
        <f>'1.Input'!AU82</f>
        <v>0</v>
      </c>
      <c r="AU136" s="41"/>
    </row>
    <row r="137" spans="1:47" x14ac:dyDescent="0.3">
      <c r="A137" s="41"/>
      <c r="B137" s="300">
        <f t="shared" ref="B137:B139" si="181">B136+1</f>
        <v>64</v>
      </c>
      <c r="C137" s="598" t="s">
        <v>583</v>
      </c>
      <c r="D137" s="599"/>
      <c r="E137" s="599"/>
      <c r="F137" s="599"/>
      <c r="G137" s="600"/>
      <c r="H137" s="43"/>
      <c r="I137" s="315" t="s">
        <v>121</v>
      </c>
      <c r="J137" s="43"/>
      <c r="K137" s="43"/>
      <c r="L137" s="43"/>
      <c r="M137" s="316">
        <f>M70</f>
        <v>300</v>
      </c>
      <c r="N137" s="316">
        <f t="shared" ref="N137:AH137" si="182">N70</f>
        <v>9000</v>
      </c>
      <c r="O137" s="316">
        <f t="shared" si="182"/>
        <v>545</v>
      </c>
      <c r="P137" s="316">
        <f t="shared" si="182"/>
        <v>0</v>
      </c>
      <c r="Q137" s="316">
        <f t="shared" si="182"/>
        <v>0</v>
      </c>
      <c r="R137" s="316">
        <f t="shared" si="182"/>
        <v>0</v>
      </c>
      <c r="S137" s="316">
        <f t="shared" si="182"/>
        <v>0</v>
      </c>
      <c r="T137" s="316">
        <f t="shared" si="182"/>
        <v>0</v>
      </c>
      <c r="U137" s="316">
        <f t="shared" si="182"/>
        <v>0</v>
      </c>
      <c r="V137" s="316">
        <f t="shared" si="182"/>
        <v>0</v>
      </c>
      <c r="W137" s="316">
        <f t="shared" si="182"/>
        <v>0</v>
      </c>
      <c r="X137" s="316">
        <f t="shared" si="182"/>
        <v>0</v>
      </c>
      <c r="Y137" s="316">
        <f t="shared" si="182"/>
        <v>0</v>
      </c>
      <c r="Z137" s="316">
        <f t="shared" si="182"/>
        <v>0</v>
      </c>
      <c r="AA137" s="316">
        <f t="shared" si="182"/>
        <v>0</v>
      </c>
      <c r="AB137" s="316">
        <f t="shared" si="182"/>
        <v>0</v>
      </c>
      <c r="AC137" s="316">
        <f t="shared" si="182"/>
        <v>0</v>
      </c>
      <c r="AD137" s="316">
        <f t="shared" si="182"/>
        <v>0</v>
      </c>
      <c r="AE137" s="316">
        <f t="shared" si="182"/>
        <v>0</v>
      </c>
      <c r="AF137" s="316">
        <f t="shared" si="182"/>
        <v>0</v>
      </c>
      <c r="AG137" s="316">
        <f t="shared" si="182"/>
        <v>0</v>
      </c>
      <c r="AH137" s="316">
        <f t="shared" si="182"/>
        <v>0</v>
      </c>
      <c r="AI137" s="316">
        <f t="shared" ref="AI137:AS137" si="183">AI70</f>
        <v>0</v>
      </c>
      <c r="AJ137" s="316">
        <f t="shared" si="183"/>
        <v>0</v>
      </c>
      <c r="AK137" s="316">
        <f t="shared" si="183"/>
        <v>0</v>
      </c>
      <c r="AL137" s="316">
        <f t="shared" si="183"/>
        <v>0</v>
      </c>
      <c r="AM137" s="316">
        <f t="shared" si="183"/>
        <v>0</v>
      </c>
      <c r="AN137" s="316">
        <f t="shared" si="183"/>
        <v>0</v>
      </c>
      <c r="AO137" s="316">
        <f t="shared" si="183"/>
        <v>0</v>
      </c>
      <c r="AP137" s="316">
        <f t="shared" si="183"/>
        <v>0</v>
      </c>
      <c r="AQ137" s="316">
        <f t="shared" si="183"/>
        <v>0</v>
      </c>
      <c r="AR137" s="316">
        <f t="shared" si="183"/>
        <v>0</v>
      </c>
      <c r="AS137" s="316">
        <f t="shared" si="183"/>
        <v>0</v>
      </c>
      <c r="AU137" s="41"/>
    </row>
    <row r="138" spans="1:47" x14ac:dyDescent="0.3">
      <c r="A138" s="41"/>
      <c r="B138" s="300">
        <f t="shared" si="181"/>
        <v>65</v>
      </c>
      <c r="C138" s="598" t="s">
        <v>584</v>
      </c>
      <c r="D138" s="599"/>
      <c r="E138" s="599"/>
      <c r="F138" s="599"/>
      <c r="G138" s="600"/>
      <c r="H138" s="43"/>
      <c r="I138" s="315" t="s">
        <v>585</v>
      </c>
      <c r="J138" s="43"/>
      <c r="K138" s="43"/>
      <c r="L138" s="43"/>
      <c r="M138" s="316">
        <f>M71</f>
        <v>200.33</v>
      </c>
      <c r="N138" s="316">
        <f t="shared" ref="N138:AH138" si="184">N71</f>
        <v>415.53</v>
      </c>
      <c r="O138" s="316">
        <f t="shared" si="184"/>
        <v>346.5</v>
      </c>
      <c r="P138" s="316">
        <f t="shared" si="184"/>
        <v>370.55</v>
      </c>
      <c r="Q138" s="316">
        <f t="shared" si="184"/>
        <v>421.54859999999996</v>
      </c>
      <c r="R138" s="316">
        <f t="shared" si="184"/>
        <v>436.78720000000004</v>
      </c>
      <c r="S138" s="316">
        <f t="shared" si="184"/>
        <v>452.26580000000001</v>
      </c>
      <c r="T138" s="316">
        <f t="shared" si="184"/>
        <v>464.41200000000003</v>
      </c>
      <c r="U138" s="316">
        <f t="shared" si="184"/>
        <v>474.81200000000001</v>
      </c>
      <c r="V138" s="316">
        <f t="shared" si="184"/>
        <v>485.21200000000005</v>
      </c>
      <c r="W138" s="316">
        <f t="shared" si="184"/>
        <v>499.88800000000003</v>
      </c>
      <c r="X138" s="316">
        <f t="shared" si="184"/>
        <v>514.56399999999996</v>
      </c>
      <c r="Y138" s="316">
        <f t="shared" si="184"/>
        <v>529.24</v>
      </c>
      <c r="Z138" s="316">
        <f t="shared" si="184"/>
        <v>543.91599999999994</v>
      </c>
      <c r="AA138" s="316">
        <f t="shared" si="184"/>
        <v>558.59199999999998</v>
      </c>
      <c r="AB138" s="316">
        <f t="shared" si="184"/>
        <v>573.26799999999992</v>
      </c>
      <c r="AC138" s="316">
        <f t="shared" si="184"/>
        <v>587.94399999999996</v>
      </c>
      <c r="AD138" s="316">
        <f t="shared" si="184"/>
        <v>602.61999999999989</v>
      </c>
      <c r="AE138" s="316">
        <f t="shared" si="184"/>
        <v>617.29599999999982</v>
      </c>
      <c r="AF138" s="316">
        <f t="shared" si="184"/>
        <v>631.97199999999987</v>
      </c>
      <c r="AG138" s="316">
        <f t="shared" si="184"/>
        <v>646.6479999999998</v>
      </c>
      <c r="AH138" s="316">
        <f t="shared" si="184"/>
        <v>661.32399999999984</v>
      </c>
      <c r="AI138" s="316">
        <f t="shared" ref="AI138:AS138" si="185">AI71</f>
        <v>676</v>
      </c>
      <c r="AJ138" s="316">
        <f t="shared" si="185"/>
        <v>676</v>
      </c>
      <c r="AK138" s="316">
        <f t="shared" si="185"/>
        <v>676</v>
      </c>
      <c r="AL138" s="316">
        <f t="shared" si="185"/>
        <v>676</v>
      </c>
      <c r="AM138" s="316">
        <f t="shared" si="185"/>
        <v>676</v>
      </c>
      <c r="AN138" s="316">
        <f t="shared" si="185"/>
        <v>676</v>
      </c>
      <c r="AO138" s="316">
        <f t="shared" si="185"/>
        <v>676</v>
      </c>
      <c r="AP138" s="316">
        <f t="shared" si="185"/>
        <v>676</v>
      </c>
      <c r="AQ138" s="316">
        <f t="shared" si="185"/>
        <v>676</v>
      </c>
      <c r="AR138" s="316">
        <f t="shared" si="185"/>
        <v>676</v>
      </c>
      <c r="AS138" s="316">
        <f t="shared" si="185"/>
        <v>676</v>
      </c>
      <c r="AU138" s="41"/>
    </row>
    <row r="139" spans="1:47" ht="33" customHeight="1" x14ac:dyDescent="0.3">
      <c r="A139" s="337"/>
      <c r="B139" s="300">
        <f t="shared" si="181"/>
        <v>66</v>
      </c>
      <c r="C139" s="679" t="s">
        <v>516</v>
      </c>
      <c r="D139" s="680"/>
      <c r="E139" s="680"/>
      <c r="F139" s="680"/>
      <c r="G139" s="681"/>
      <c r="H139" s="317"/>
      <c r="I139" s="313" t="s">
        <v>407</v>
      </c>
      <c r="J139" s="317"/>
      <c r="K139" s="298"/>
      <c r="L139" s="317"/>
      <c r="M139" s="340">
        <f t="shared" ref="M139" si="186">((M135+M136)*M134+N(M137&gt;0)*(M137*M138))/1000</f>
        <v>43664.613700000002</v>
      </c>
      <c r="N139" s="340">
        <f t="shared" ref="N139" si="187">((N135+N136)*N134+N(N137&gt;0)*(N137*N138))/1000</f>
        <v>228297.09361859999</v>
      </c>
      <c r="O139" s="340">
        <f t="shared" ref="O139" si="188">((O135+O136)*O134+N(O137&gt;0)*(O137*O138))/1000</f>
        <v>227128.76702710471</v>
      </c>
      <c r="P139" s="340">
        <f t="shared" ref="P139" si="189">((P135+P136)*P134+N(P137&gt;0)*(P137*P138))/1000</f>
        <v>54146.721994204818</v>
      </c>
      <c r="Q139" s="340">
        <f t="shared" ref="Q139" si="190">((Q135+Q136)*Q134+N(Q137&gt;0)*(Q137*Q138))/1000</f>
        <v>31604.949132409667</v>
      </c>
      <c r="R139" s="340">
        <f t="shared" ref="R139" si="191">((R135+R136)*R134+N(R137&gt;0)*(R137*R138))/1000</f>
        <v>36763.980957839987</v>
      </c>
      <c r="S139" s="340">
        <f t="shared" ref="S139" si="192">((S135+S136)*S134+N(S137&gt;0)*(S137*S138))/1000</f>
        <v>34440.070925110653</v>
      </c>
      <c r="T139" s="340">
        <f t="shared" ref="T139" si="193">((T135+T136)*T134+N(T137&gt;0)*(T137*T138))/1000</f>
        <v>32248.0956076943</v>
      </c>
      <c r="U139" s="340">
        <f t="shared" ref="U139" si="194">((U135+U136)*U134+N(U137&gt;0)*(U137*U138))/1000</f>
        <v>30014.660465358487</v>
      </c>
      <c r="V139" s="340">
        <f t="shared" ref="V139" si="195">((V135+V136)*V134+N(V137&gt;0)*(V137*V138))/1000</f>
        <v>27732.935041021447</v>
      </c>
      <c r="W139" s="340">
        <f t="shared" ref="W139" si="196">((W135+W136)*W134+N(W137&gt;0)*(W137*W138))/1000</f>
        <v>25394.581131929226</v>
      </c>
      <c r="X139" s="340">
        <f t="shared" ref="X139" si="197">((X135+X136)*X134+N(X137&gt;0)*(X137*X138))/1000</f>
        <v>25392.840783348085</v>
      </c>
      <c r="Y139" s="340">
        <f t="shared" ref="Y139" si="198">((Y135+Y136)*Y134+N(Y137&gt;0)*(Y137*Y138))/1000</f>
        <v>25423.653909161625</v>
      </c>
      <c r="Z139" s="340">
        <f t="shared" ref="Z139" si="199">((Z135+Z136)*Z134+N(Z137&gt;0)*(Z137*Z138))/1000</f>
        <v>25429.612918137751</v>
      </c>
      <c r="AA139" s="340">
        <f t="shared" ref="AA139" si="200">((AA135+AA136)*AA134+N(AA137&gt;0)*(AA137*AA138))/1000</f>
        <v>25410.539233778662</v>
      </c>
      <c r="AB139" s="340">
        <f t="shared" ref="AB139" si="201">((AB135+AB136)*AB134+N(AB137&gt;0)*(AB137*AB138))/1000</f>
        <v>25366.21060736011</v>
      </c>
      <c r="AC139" s="340">
        <f t="shared" ref="AC139" si="202">((AC135+AC136)*AC134+N(AC137&gt;0)*(AC137*AC138))/1000</f>
        <v>26071.548296911438</v>
      </c>
      <c r="AD139" s="340">
        <f t="shared" ref="AD139" si="203">((AD135+AD136)*AD134+N(AD137&gt;0)*(AD137*AD138))/1000</f>
        <v>26768.306241550665</v>
      </c>
      <c r="AE139" s="340">
        <f t="shared" ref="AE139" si="204">((AE135+AE136)*AE134+N(AE137&gt;0)*(AE137*AE138))/1000</f>
        <v>27456.754666867288</v>
      </c>
      <c r="AF139" s="340">
        <f t="shared" ref="AF139" si="205">((AF135+AF136)*AF134+N(AF137&gt;0)*(AF137*AF138))/1000</f>
        <v>28137.156700510634</v>
      </c>
      <c r="AG139" s="340">
        <f t="shared" ref="AG139" si="206">((AG135+AG136)*AG134+N(AG137&gt;0)*(AG137*AG138))/1000</f>
        <v>28809.768543003916</v>
      </c>
      <c r="AH139" s="340">
        <f t="shared" ref="AH139:AI139" si="207">((AH135+AH136)*AH134+N(AH137&gt;0)*(AH137*AH138))/1000</f>
        <v>29474.839634654792</v>
      </c>
      <c r="AI139" s="340">
        <f t="shared" si="207"/>
        <v>30132.612818648573</v>
      </c>
      <c r="AJ139" s="340">
        <f t="shared" ref="AJ139:AS139" si="208">((AJ135+AJ136)*AJ134+N(AJ137&gt;0)*(AJ137*AJ138))/1000</f>
        <v>30873.082570474195</v>
      </c>
      <c r="AK139" s="340">
        <f t="shared" si="208"/>
        <v>31608.969799030248</v>
      </c>
      <c r="AL139" s="340">
        <f t="shared" si="208"/>
        <v>32340.34828183362</v>
      </c>
      <c r="AM139" s="340">
        <f t="shared" si="208"/>
        <v>33067.290779103161</v>
      </c>
      <c r="AN139" s="340">
        <f t="shared" si="208"/>
        <v>33789.86904672793</v>
      </c>
      <c r="AO139" s="340">
        <f t="shared" si="208"/>
        <v>34508.153849077797</v>
      </c>
      <c r="AP139" s="340">
        <f t="shared" si="208"/>
        <v>35222.214971658126</v>
      </c>
      <c r="AQ139" s="340">
        <f t="shared" si="208"/>
        <v>35932.121233610764</v>
      </c>
      <c r="AR139" s="340">
        <f t="shared" si="208"/>
        <v>36637.94050006265</v>
      </c>
      <c r="AS139" s="340">
        <f t="shared" si="208"/>
        <v>37339.739694324307</v>
      </c>
      <c r="AT139" s="320"/>
      <c r="AU139" s="337"/>
    </row>
    <row r="140" spans="1:47" ht="10.5" customHeight="1" x14ac:dyDescent="0.3">
      <c r="A140" s="41"/>
      <c r="B140" s="300"/>
      <c r="C140" s="344"/>
      <c r="D140" s="344"/>
      <c r="E140" s="344"/>
      <c r="F140" s="344"/>
      <c r="G140" s="344"/>
      <c r="H140" s="317"/>
      <c r="I140" s="298"/>
      <c r="J140" s="43"/>
      <c r="K140" s="298"/>
      <c r="L140" s="43"/>
      <c r="M140" s="345"/>
      <c r="N140" s="346"/>
      <c r="O140" s="346"/>
      <c r="P140" s="346"/>
      <c r="Q140" s="346"/>
      <c r="R140" s="346"/>
      <c r="S140" s="346"/>
      <c r="T140" s="346"/>
      <c r="U140" s="346"/>
      <c r="V140" s="346"/>
      <c r="W140" s="346"/>
      <c r="X140" s="346"/>
      <c r="Y140" s="346"/>
      <c r="Z140" s="346"/>
      <c r="AA140" s="43"/>
      <c r="AB140" s="43"/>
      <c r="AC140" s="43"/>
      <c r="AD140" s="43"/>
      <c r="AE140" s="43"/>
      <c r="AF140" s="43"/>
      <c r="AG140" s="43"/>
      <c r="AU140" s="41"/>
    </row>
    <row r="141" spans="1:47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</row>
  </sheetData>
  <sheetProtection algorithmName="SHA-512" hashValue="Gt+iCHCYen+SJ5WGUu5PEZRSqTIuwbJ45Ea4+WekclrsjjQFtDNDppVO/YfdlFpKLOK5wwXXHzeEyZ6mwC9G+g==" saltValue="G0SrS+5t2aKN6YzbzRqGmQ==" spinCount="100000" sheet="1" objects="1" scenarios="1"/>
  <mergeCells count="98">
    <mergeCell ref="B24:B25"/>
    <mergeCell ref="C28:G28"/>
    <mergeCell ref="C29:G29"/>
    <mergeCell ref="C30:G30"/>
    <mergeCell ref="C31:G31"/>
    <mergeCell ref="C138:G138"/>
    <mergeCell ref="C105:G105"/>
    <mergeCell ref="C90:G90"/>
    <mergeCell ref="C93:G93"/>
    <mergeCell ref="C95:G95"/>
    <mergeCell ref="C96:G96"/>
    <mergeCell ref="C98:G98"/>
    <mergeCell ref="C101:H101"/>
    <mergeCell ref="C104:G104"/>
    <mergeCell ref="C103:G103"/>
    <mergeCell ref="C81:G81"/>
    <mergeCell ref="C75:H75"/>
    <mergeCell ref="C135:G135"/>
    <mergeCell ref="C136:G136"/>
    <mergeCell ref="C139:G139"/>
    <mergeCell ref="C128:G128"/>
    <mergeCell ref="C120:G120"/>
    <mergeCell ref="C121:G121"/>
    <mergeCell ref="C123:G123"/>
    <mergeCell ref="C134:G134"/>
    <mergeCell ref="C124:G124"/>
    <mergeCell ref="C125:G125"/>
    <mergeCell ref="C126:G126"/>
    <mergeCell ref="C131:H131"/>
    <mergeCell ref="C133:G133"/>
    <mergeCell ref="C137:G137"/>
    <mergeCell ref="C14:G14"/>
    <mergeCell ref="C34:H34"/>
    <mergeCell ref="C66:G66"/>
    <mergeCell ref="C67:G67"/>
    <mergeCell ref="C50:G50"/>
    <mergeCell ref="C56:G56"/>
    <mergeCell ref="C57:G57"/>
    <mergeCell ref="C58:G58"/>
    <mergeCell ref="C36:G36"/>
    <mergeCell ref="C41:G41"/>
    <mergeCell ref="C59:G59"/>
    <mergeCell ref="C61:G61"/>
    <mergeCell ref="C64:H64"/>
    <mergeCell ref="C97:G97"/>
    <mergeCell ref="C16:G16"/>
    <mergeCell ref="C18:G18"/>
    <mergeCell ref="C19:G19"/>
    <mergeCell ref="C37:G37"/>
    <mergeCell ref="C38:G38"/>
    <mergeCell ref="C40:G40"/>
    <mergeCell ref="C26:G26"/>
    <mergeCell ref="C39:G39"/>
    <mergeCell ref="C24:G25"/>
    <mergeCell ref="C20:G20"/>
    <mergeCell ref="C22:G22"/>
    <mergeCell ref="C23:G23"/>
    <mergeCell ref="C68:G68"/>
    <mergeCell ref="C69:G69"/>
    <mergeCell ref="C72:G72"/>
    <mergeCell ref="C48:G48"/>
    <mergeCell ref="C49:G49"/>
    <mergeCell ref="C51:G51"/>
    <mergeCell ref="C52:G52"/>
    <mergeCell ref="B91:B92"/>
    <mergeCell ref="C91:G92"/>
    <mergeCell ref="C70:G70"/>
    <mergeCell ref="C71:G71"/>
    <mergeCell ref="C83:G83"/>
    <mergeCell ref="C86:G86"/>
    <mergeCell ref="C87:G87"/>
    <mergeCell ref="C89:G89"/>
    <mergeCell ref="C85:G85"/>
    <mergeCell ref="C82:G82"/>
    <mergeCell ref="C80:G80"/>
    <mergeCell ref="C78:H78"/>
    <mergeCell ref="C119:G119"/>
    <mergeCell ref="C106:G106"/>
    <mergeCell ref="C107:G107"/>
    <mergeCell ref="C108:G108"/>
    <mergeCell ref="C111:H111"/>
    <mergeCell ref="C114:G114"/>
    <mergeCell ref="P3:AS3"/>
    <mergeCell ref="C115:G115"/>
    <mergeCell ref="C116:G116"/>
    <mergeCell ref="C117:G117"/>
    <mergeCell ref="C118:G118"/>
    <mergeCell ref="C44:H44"/>
    <mergeCell ref="C47:G47"/>
    <mergeCell ref="C53:G53"/>
    <mergeCell ref="C54:G54"/>
    <mergeCell ref="C15:G15"/>
    <mergeCell ref="D3:I3"/>
    <mergeCell ref="M3:N3"/>
    <mergeCell ref="D4:I4"/>
    <mergeCell ref="C8:H8"/>
    <mergeCell ref="C13:G13"/>
    <mergeCell ref="C11:H11"/>
  </mergeCells>
  <pageMargins left="0.7" right="0.7" top="0.75" bottom="0.75" header="0.3" footer="0.3"/>
  <pageSetup paperSize="9" scale="2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BE13-E468-491F-A3A3-DC226FE34852}">
  <sheetPr>
    <pageSetUpPr fitToPage="1"/>
  </sheetPr>
  <dimension ref="A1:AT22"/>
  <sheetViews>
    <sheetView workbookViewId="0">
      <selection activeCell="I28" sqref="I28"/>
    </sheetView>
  </sheetViews>
  <sheetFormatPr defaultColWidth="9.140625" defaultRowHeight="16.5" x14ac:dyDescent="0.3"/>
  <cols>
    <col min="1" max="1" width="3.85546875" style="38" customWidth="1"/>
    <col min="2" max="2" width="3.28515625" style="296" customWidth="1"/>
    <col min="3" max="3" width="14.28515625" style="38" customWidth="1"/>
    <col min="4" max="6" width="9.140625" style="38"/>
    <col min="7" max="7" width="14.85546875" style="38" customWidth="1"/>
    <col min="8" max="8" width="4" style="38" customWidth="1"/>
    <col min="9" max="9" width="12.28515625" style="38" customWidth="1"/>
    <col min="10" max="10" width="4" style="38" customWidth="1"/>
    <col min="11" max="11" width="10.42578125" style="38" customWidth="1"/>
    <col min="12" max="12" width="3.5703125" style="38" customWidth="1"/>
    <col min="13" max="32" width="12.7109375" style="38" customWidth="1"/>
    <col min="33" max="43" width="10.7109375" style="38" customWidth="1"/>
    <col min="44" max="44" width="3.28515625" style="38" customWidth="1"/>
    <col min="45" max="45" width="4.5703125" style="38" customWidth="1"/>
    <col min="46" max="46" width="4.7109375" style="38" customWidth="1"/>
    <col min="47" max="16384" width="9.140625" style="38"/>
  </cols>
  <sheetData>
    <row r="1" spans="1:46" ht="15" customHeight="1" x14ac:dyDescent="0.3"/>
    <row r="2" spans="1:46" ht="15" customHeight="1" x14ac:dyDescent="0.3">
      <c r="M2" s="313">
        <v>0</v>
      </c>
      <c r="N2" s="313">
        <v>1</v>
      </c>
      <c r="O2" s="313">
        <f>IF(AND(N2+1&lt;='1.Input'!$I$20,'7.Beneficii economice'!N2&gt;0),'7.Beneficii economice'!N2+1,0)</f>
        <v>2</v>
      </c>
      <c r="P2" s="313">
        <f>IF(AND(O2+1&lt;='1.Input'!$I$20,'7.Beneficii economice'!O2&gt;0),'7.Beneficii economice'!O2+1,0)</f>
        <v>3</v>
      </c>
      <c r="Q2" s="313">
        <f>IF(AND(P2+1&lt;='1.Input'!$I$20,'7.Beneficii economice'!P2&gt;0),'7.Beneficii economice'!P2+1,0)</f>
        <v>4</v>
      </c>
      <c r="R2" s="313">
        <f>IF(AND(Q2+1&lt;='1.Input'!$I$20,'7.Beneficii economice'!Q2&gt;0),'7.Beneficii economice'!Q2+1,0)</f>
        <v>5</v>
      </c>
      <c r="S2" s="313">
        <f>IF(AND(R2+1&lt;='1.Input'!$I$20,'7.Beneficii economice'!R2&gt;0),'7.Beneficii economice'!R2+1,0)</f>
        <v>6</v>
      </c>
      <c r="T2" s="313">
        <f>IF(AND(S2+1&lt;='1.Input'!$I$20,'7.Beneficii economice'!S2&gt;0),'7.Beneficii economice'!S2+1,0)</f>
        <v>7</v>
      </c>
      <c r="U2" s="313">
        <f>IF(AND(T2+1&lt;='1.Input'!$I$20,'7.Beneficii economice'!T2&gt;0),'7.Beneficii economice'!T2+1,0)</f>
        <v>8</v>
      </c>
      <c r="V2" s="313">
        <f>IF(AND(U2+1&lt;='1.Input'!$I$20,'7.Beneficii economice'!U2&gt;0),'7.Beneficii economice'!U2+1,0)</f>
        <v>9</v>
      </c>
      <c r="W2" s="313">
        <f>IF(AND(V2+1&lt;='1.Input'!$I$20,'7.Beneficii economice'!V2&gt;0),'7.Beneficii economice'!V2+1,0)</f>
        <v>10</v>
      </c>
      <c r="X2" s="313">
        <f>IF(AND(W2+1&lt;='1.Input'!$I$20,'7.Beneficii economice'!W2&gt;0),'7.Beneficii economice'!W2+1,0)</f>
        <v>11</v>
      </c>
      <c r="Y2" s="313">
        <f>IF(AND(X2+1&lt;='1.Input'!$I$20,'7.Beneficii economice'!X2&gt;0),'7.Beneficii economice'!X2+1,0)</f>
        <v>12</v>
      </c>
      <c r="Z2" s="313">
        <f>IF(AND(Y2+1&lt;='1.Input'!$I$20,'7.Beneficii economice'!Y2&gt;0),'7.Beneficii economice'!Y2+1,0)</f>
        <v>13</v>
      </c>
      <c r="AA2" s="313">
        <f>IF(AND(Z2+1&lt;='1.Input'!$I$20,'7.Beneficii economice'!Z2&gt;0),'7.Beneficii economice'!Z2+1,0)</f>
        <v>14</v>
      </c>
      <c r="AB2" s="313">
        <f>IF(AND(AA2+1&lt;='1.Input'!$I$20,'7.Beneficii economice'!AA2&gt;0),'7.Beneficii economice'!AA2+1,0)</f>
        <v>15</v>
      </c>
      <c r="AC2" s="313">
        <f>IF(AND(AB2+1&lt;='1.Input'!$I$20,'7.Beneficii economice'!AB2&gt;0),'7.Beneficii economice'!AB2+1,0)</f>
        <v>16</v>
      </c>
      <c r="AD2" s="313">
        <f>IF(AND(AC2+1&lt;='1.Input'!$I$20,'7.Beneficii economice'!AC2&gt;0),'7.Beneficii economice'!AC2+1,0)</f>
        <v>17</v>
      </c>
      <c r="AE2" s="313">
        <f>IF(AND(AD2+1&lt;='1.Input'!$I$20,'7.Beneficii economice'!AD2&gt;0),'7.Beneficii economice'!AD2+1,0)</f>
        <v>18</v>
      </c>
      <c r="AF2" s="313">
        <f>IF(AND(AE2+1&lt;='1.Input'!$I$20,'7.Beneficii economice'!AE2&gt;0),'7.Beneficii economice'!AE2+1,0)</f>
        <v>19</v>
      </c>
      <c r="AG2" s="313">
        <f>IF(AND(AF2+1&lt;='1.Input'!$I$20,'7.Beneficii economice'!AF2&gt;0),'7.Beneficii economice'!AF2+1,0)</f>
        <v>20</v>
      </c>
      <c r="AH2" s="313">
        <f>IF(AND(AG2+1&lt;='1.Input'!$I$20,'7.Beneficii economice'!AG2&gt;0),'7.Beneficii economice'!AG2+1,0)</f>
        <v>21</v>
      </c>
      <c r="AI2" s="313">
        <f>IF(AND(AH2+1&lt;='1.Input'!$I$20,'7.Beneficii economice'!AH2&gt;0),'7.Beneficii economice'!AH2+1,0)</f>
        <v>22</v>
      </c>
      <c r="AJ2" s="313">
        <f>IF(AND(AI2+1&lt;='1.Input'!$I$20,'7.Beneficii economice'!AI2&gt;0),'7.Beneficii economice'!AI2+1,0)</f>
        <v>23</v>
      </c>
      <c r="AK2" s="313">
        <f>IF(AND(AJ2+1&lt;='1.Input'!$I$20,'7.Beneficii economice'!AJ2&gt;0),'7.Beneficii economice'!AJ2+1,0)</f>
        <v>24</v>
      </c>
      <c r="AL2" s="313">
        <f>IF(AND(AK2+1&lt;='1.Input'!$I$20,'7.Beneficii economice'!AK2&gt;0),'7.Beneficii economice'!AK2+1,0)</f>
        <v>25</v>
      </c>
      <c r="AM2" s="313">
        <f>IF(AND(AL2+1&lt;='1.Input'!$I$20,'7.Beneficii economice'!AL2&gt;0),'7.Beneficii economice'!AL2+1,0)</f>
        <v>26</v>
      </c>
      <c r="AN2" s="313">
        <f>IF(AND(AM2+1&lt;='1.Input'!$I$20,'7.Beneficii economice'!AM2&gt;0),'7.Beneficii economice'!AM2+1,0)</f>
        <v>27</v>
      </c>
      <c r="AO2" s="313">
        <f>IF(AND(AN2+1&lt;='1.Input'!$I$20,'7.Beneficii economice'!AN2&gt;0),'7.Beneficii economice'!AN2+1,0)</f>
        <v>28</v>
      </c>
      <c r="AP2" s="313">
        <f>IF(AND(AO2+1&lt;='1.Input'!$I$20,'7.Beneficii economice'!AO2&gt;0),'7.Beneficii economice'!AO2+1,0)</f>
        <v>29</v>
      </c>
      <c r="AQ2" s="313">
        <f>IF(AND(AP2+1&lt;='1.Input'!$I$20,'7.Beneficii economice'!AP2&gt;0),'7.Beneficii economice'!AP2+1,0)</f>
        <v>30</v>
      </c>
      <c r="AR2" s="43"/>
      <c r="AS2" s="43"/>
    </row>
    <row r="3" spans="1:46" ht="22.5" customHeight="1" x14ac:dyDescent="0.3">
      <c r="C3" s="297" t="s">
        <v>0</v>
      </c>
      <c r="D3" s="687" t="str">
        <f>'4.Investitie'!D3</f>
        <v>PRIMARIA MUNICIPIULUI SUCEAVA</v>
      </c>
      <c r="E3" s="687"/>
      <c r="F3" s="687"/>
      <c r="G3" s="687"/>
      <c r="H3" s="687"/>
      <c r="I3" s="687"/>
      <c r="J3" s="298"/>
      <c r="K3" s="298"/>
      <c r="L3" s="298"/>
      <c r="M3" s="299" t="s">
        <v>17</v>
      </c>
      <c r="N3" s="613" t="s">
        <v>18</v>
      </c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314"/>
      <c r="AS3" s="43"/>
    </row>
    <row r="4" spans="1:46" ht="27.75" customHeight="1" x14ac:dyDescent="0.3">
      <c r="C4" s="297" t="s">
        <v>1</v>
      </c>
      <c r="D4" s="664" t="str">
        <f>'4.Investitie'!D4</f>
        <v>Reabilitarea sistemului de transport și distribuție energie termică în municipiul Suceava</v>
      </c>
      <c r="E4" s="664"/>
      <c r="F4" s="664"/>
      <c r="G4" s="664"/>
      <c r="H4" s="664"/>
      <c r="I4" s="664"/>
      <c r="J4" s="298"/>
      <c r="K4" s="298"/>
      <c r="L4" s="298"/>
      <c r="M4" s="40">
        <f>'1.Input'!O4</f>
        <v>2023</v>
      </c>
      <c r="N4" s="40">
        <f>'1.Input'!P4</f>
        <v>2024</v>
      </c>
      <c r="O4" s="40">
        <f>'1.Input'!Q4</f>
        <v>2025</v>
      </c>
      <c r="P4" s="40">
        <f>'1.Input'!R4</f>
        <v>2026</v>
      </c>
      <c r="Q4" s="40">
        <f>'1.Input'!S4</f>
        <v>2027</v>
      </c>
      <c r="R4" s="40">
        <f>'1.Input'!T4</f>
        <v>2028</v>
      </c>
      <c r="S4" s="40">
        <f>'1.Input'!U4</f>
        <v>2029</v>
      </c>
      <c r="T4" s="40">
        <f>'1.Input'!V4</f>
        <v>2030</v>
      </c>
      <c r="U4" s="40">
        <f>'1.Input'!W4</f>
        <v>2031</v>
      </c>
      <c r="V4" s="40">
        <f>'1.Input'!X4</f>
        <v>2032</v>
      </c>
      <c r="W4" s="40">
        <f>'1.Input'!Y4</f>
        <v>2033</v>
      </c>
      <c r="X4" s="40">
        <f>'1.Input'!Z4</f>
        <v>2034</v>
      </c>
      <c r="Y4" s="40">
        <f>'1.Input'!AA4</f>
        <v>2035</v>
      </c>
      <c r="Z4" s="40">
        <f>'1.Input'!AB4</f>
        <v>2036</v>
      </c>
      <c r="AA4" s="40">
        <f>'1.Input'!AC4</f>
        <v>2037</v>
      </c>
      <c r="AB4" s="40">
        <f>'1.Input'!AD4</f>
        <v>2038</v>
      </c>
      <c r="AC4" s="40">
        <f>'1.Input'!AE4</f>
        <v>2039</v>
      </c>
      <c r="AD4" s="40">
        <f>'1.Input'!AF4</f>
        <v>2040</v>
      </c>
      <c r="AE4" s="40">
        <f>'1.Input'!AG4</f>
        <v>2041</v>
      </c>
      <c r="AF4" s="40">
        <f>'1.Input'!AH4</f>
        <v>2042</v>
      </c>
      <c r="AG4" s="40">
        <f>'1.Input'!AI4</f>
        <v>2043</v>
      </c>
      <c r="AH4" s="40">
        <f>'1.Input'!AJ4</f>
        <v>2044</v>
      </c>
      <c r="AI4" s="40">
        <f>'1.Input'!AK4</f>
        <v>2045</v>
      </c>
      <c r="AJ4" s="40">
        <f>'1.Input'!AL4</f>
        <v>2046</v>
      </c>
      <c r="AK4" s="40">
        <f>'1.Input'!AM4</f>
        <v>2047</v>
      </c>
      <c r="AL4" s="40">
        <f>'1.Input'!AN4</f>
        <v>2048</v>
      </c>
      <c r="AM4" s="40">
        <f>'1.Input'!AO4</f>
        <v>2049</v>
      </c>
      <c r="AN4" s="40">
        <f>'1.Input'!AP4</f>
        <v>2050</v>
      </c>
      <c r="AO4" s="40">
        <f>'1.Input'!AQ4</f>
        <v>2051</v>
      </c>
      <c r="AP4" s="40">
        <f>'1.Input'!AR4</f>
        <v>2052</v>
      </c>
      <c r="AQ4" s="40">
        <f>'1.Input'!AS4</f>
        <v>2053</v>
      </c>
      <c r="AR4" s="50"/>
      <c r="AS4" s="43"/>
    </row>
    <row r="7" spans="1:46" ht="17.25" thickBo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6" ht="15.75" customHeight="1" thickBot="1" x14ac:dyDescent="0.35">
      <c r="A8" s="41"/>
      <c r="B8" s="41"/>
      <c r="C8" s="615" t="s">
        <v>433</v>
      </c>
      <c r="D8" s="616"/>
      <c r="E8" s="616"/>
      <c r="F8" s="616"/>
      <c r="G8" s="616"/>
      <c r="H8" s="61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6" s="43" customFormat="1" ht="17.25" thickBot="1" x14ac:dyDescent="0.35">
      <c r="A9" s="41"/>
      <c r="B9" s="296"/>
      <c r="C9" s="42"/>
      <c r="D9" s="42"/>
      <c r="E9" s="42"/>
      <c r="F9" s="42"/>
      <c r="G9" s="42"/>
      <c r="AS9" s="41"/>
      <c r="AT9" s="38"/>
    </row>
    <row r="10" spans="1:46" s="43" customFormat="1" ht="23.25" customHeight="1" thickBot="1" x14ac:dyDescent="0.35">
      <c r="A10" s="41"/>
      <c r="B10" s="296"/>
      <c r="C10" s="684" t="s">
        <v>670</v>
      </c>
      <c r="D10" s="685"/>
      <c r="E10" s="685"/>
      <c r="F10" s="685"/>
      <c r="G10" s="686"/>
      <c r="AS10" s="41"/>
      <c r="AT10" s="38"/>
    </row>
    <row r="11" spans="1:46" s="43" customFormat="1" x14ac:dyDescent="0.3">
      <c r="A11" s="41"/>
      <c r="B11" s="300">
        <v>1</v>
      </c>
      <c r="C11" s="605" t="s">
        <v>435</v>
      </c>
      <c r="D11" s="606"/>
      <c r="E11" s="606"/>
      <c r="F11" s="606"/>
      <c r="G11" s="607"/>
      <c r="I11" s="315" t="s">
        <v>34</v>
      </c>
      <c r="M11" s="316">
        <f>'3.BilantPRO'!I81</f>
        <v>34531.777777777781</v>
      </c>
      <c r="N11" s="316">
        <f>'3.BilantPRO'!J81</f>
        <v>34531.777777777781</v>
      </c>
      <c r="O11" s="316">
        <f>'3.BilantPRO'!K81</f>
        <v>34531.777777777781</v>
      </c>
      <c r="P11" s="316">
        <f>'3.BilantPRO'!L81</f>
        <v>34333.391777777782</v>
      </c>
      <c r="Q11" s="316">
        <f>'3.BilantPRO'!M81</f>
        <v>33990.009777777777</v>
      </c>
      <c r="R11" s="316">
        <f>'3.BilantPRO'!N81</f>
        <v>33628.643777777783</v>
      </c>
      <c r="S11" s="316">
        <f>'3.BilantPRO'!O81</f>
        <v>33628.643777777783</v>
      </c>
      <c r="T11" s="316">
        <f>'3.BilantPRO'!P81</f>
        <v>33628.643777777783</v>
      </c>
      <c r="U11" s="316">
        <f>'3.BilantPRO'!Q81</f>
        <v>33628.643777777783</v>
      </c>
      <c r="V11" s="316">
        <f>'3.BilantPRO'!R81</f>
        <v>33628.643777777783</v>
      </c>
      <c r="W11" s="316">
        <f>'3.BilantPRO'!S81</f>
        <v>33628.643777777783</v>
      </c>
      <c r="X11" s="316">
        <f>'3.BilantPRO'!T81</f>
        <v>33628.643777777783</v>
      </c>
      <c r="Y11" s="316">
        <f>'3.BilantPRO'!U81</f>
        <v>33628.643777777783</v>
      </c>
      <c r="Z11" s="316">
        <f>'3.BilantPRO'!V81</f>
        <v>33628.643777777783</v>
      </c>
      <c r="AA11" s="316">
        <f>'3.BilantPRO'!W81</f>
        <v>33628.643777777783</v>
      </c>
      <c r="AB11" s="316">
        <f>'3.BilantPRO'!X81</f>
        <v>33628.643777777783</v>
      </c>
      <c r="AC11" s="316">
        <f>'3.BilantPRO'!Y81</f>
        <v>33628.643777777783</v>
      </c>
      <c r="AD11" s="316">
        <f>'3.BilantPRO'!Z81</f>
        <v>33628.643777777783</v>
      </c>
      <c r="AE11" s="316">
        <f>'3.BilantPRO'!AA81</f>
        <v>33628.643777777783</v>
      </c>
      <c r="AF11" s="316">
        <f>'3.BilantPRO'!AB81</f>
        <v>33628.643777777783</v>
      </c>
      <c r="AG11" s="316">
        <f>'3.BilantPRO'!AC81</f>
        <v>33628.643777777783</v>
      </c>
      <c r="AH11" s="316">
        <f>'3.BilantPRO'!AD81</f>
        <v>33628.643777777783</v>
      </c>
      <c r="AI11" s="316">
        <f>'3.BilantPRO'!AE81</f>
        <v>33628.643777777783</v>
      </c>
      <c r="AJ11" s="316">
        <f>'3.BilantPRO'!AF81</f>
        <v>33628.643777777783</v>
      </c>
      <c r="AK11" s="316">
        <f>'3.BilantPRO'!AG81</f>
        <v>33628.643777777783</v>
      </c>
      <c r="AL11" s="316">
        <f>'3.BilantPRO'!AH81</f>
        <v>33628.643777777783</v>
      </c>
      <c r="AM11" s="316">
        <f>'3.BilantPRO'!AI81</f>
        <v>33628.643777777783</v>
      </c>
      <c r="AN11" s="316">
        <f>'3.BilantPRO'!AJ81</f>
        <v>33628.643777777783</v>
      </c>
      <c r="AO11" s="316">
        <f>'3.BilantPRO'!AK81</f>
        <v>33628.643777777783</v>
      </c>
      <c r="AP11" s="316">
        <f>'3.BilantPRO'!AL81</f>
        <v>33628.643777777783</v>
      </c>
      <c r="AQ11" s="316">
        <f>'3.BilantPRO'!AM81</f>
        <v>33628.643777777783</v>
      </c>
      <c r="AS11" s="41"/>
      <c r="AT11" s="38"/>
    </row>
    <row r="12" spans="1:46" s="43" customFormat="1" ht="14.25" customHeight="1" x14ac:dyDescent="0.3">
      <c r="A12" s="41"/>
      <c r="B12" s="300">
        <f>B11+1</f>
        <v>2</v>
      </c>
      <c r="C12" s="605" t="s">
        <v>434</v>
      </c>
      <c r="D12" s="606"/>
      <c r="E12" s="606"/>
      <c r="F12" s="606"/>
      <c r="G12" s="607"/>
      <c r="I12" s="315" t="s">
        <v>34</v>
      </c>
      <c r="M12" s="316">
        <f>'2.BilantNOPRO'!I82</f>
        <v>34531.777777777781</v>
      </c>
      <c r="N12" s="316">
        <f>'2.BilantNOPRO'!J82</f>
        <v>34531.777777777781</v>
      </c>
      <c r="O12" s="316">
        <f>'2.BilantNOPRO'!K82</f>
        <v>34531.777777777781</v>
      </c>
      <c r="P12" s="316">
        <f>'2.BilantNOPRO'!L82</f>
        <v>34531.777777777781</v>
      </c>
      <c r="Q12" s="316">
        <f>'2.BilantNOPRO'!M82</f>
        <v>34531.777777777781</v>
      </c>
      <c r="R12" s="316">
        <f>'2.BilantNOPRO'!N82</f>
        <v>34531.777777777781</v>
      </c>
      <c r="S12" s="316">
        <f>'2.BilantNOPRO'!O82</f>
        <v>34531.777777777781</v>
      </c>
      <c r="T12" s="316">
        <f>'2.BilantNOPRO'!P82</f>
        <v>34531.777777777781</v>
      </c>
      <c r="U12" s="316">
        <f>'2.BilantNOPRO'!Q82</f>
        <v>34531.777777777781</v>
      </c>
      <c r="V12" s="316">
        <f>'2.BilantNOPRO'!R82</f>
        <v>34531.777777777781</v>
      </c>
      <c r="W12" s="316">
        <f>'2.BilantNOPRO'!S82</f>
        <v>34531.777777777781</v>
      </c>
      <c r="X12" s="316">
        <f>'2.BilantNOPRO'!T82</f>
        <v>34531.777777777781</v>
      </c>
      <c r="Y12" s="316">
        <f>'2.BilantNOPRO'!U82</f>
        <v>34531.777777777781</v>
      </c>
      <c r="Z12" s="316">
        <f>'2.BilantNOPRO'!V82</f>
        <v>34531.777777777781</v>
      </c>
      <c r="AA12" s="316">
        <f>'2.BilantNOPRO'!W82</f>
        <v>34531.777777777781</v>
      </c>
      <c r="AB12" s="316">
        <f>'2.BilantNOPRO'!X82</f>
        <v>34531.777777777781</v>
      </c>
      <c r="AC12" s="316">
        <f>'2.BilantNOPRO'!Y82</f>
        <v>34531.777777777781</v>
      </c>
      <c r="AD12" s="316">
        <f>'2.BilantNOPRO'!Z82</f>
        <v>34531.777777777781</v>
      </c>
      <c r="AE12" s="316">
        <f>'2.BilantNOPRO'!AA82</f>
        <v>34531.777777777781</v>
      </c>
      <c r="AF12" s="316">
        <f>'2.BilantNOPRO'!AB82</f>
        <v>34531.777777777781</v>
      </c>
      <c r="AG12" s="316">
        <f>'2.BilantNOPRO'!AC82</f>
        <v>34531.777777777781</v>
      </c>
      <c r="AH12" s="316">
        <f>'2.BilantNOPRO'!AD82</f>
        <v>34531.777777777781</v>
      </c>
      <c r="AI12" s="316">
        <f>'2.BilantNOPRO'!AE82</f>
        <v>34531.777777777781</v>
      </c>
      <c r="AJ12" s="316">
        <f>'2.BilantNOPRO'!AF82</f>
        <v>34531.777777777781</v>
      </c>
      <c r="AK12" s="316">
        <f>'2.BilantNOPRO'!AG82</f>
        <v>34531.777777777781</v>
      </c>
      <c r="AL12" s="316">
        <f>'2.BilantNOPRO'!AH82</f>
        <v>34531.777777777781</v>
      </c>
      <c r="AM12" s="316">
        <f>'2.BilantNOPRO'!AI82</f>
        <v>34531.777777777781</v>
      </c>
      <c r="AN12" s="316">
        <f>'2.BilantNOPRO'!AJ82</f>
        <v>34531.777777777781</v>
      </c>
      <c r="AO12" s="316">
        <f>'2.BilantNOPRO'!AK82</f>
        <v>34531.777777777781</v>
      </c>
      <c r="AP12" s="316">
        <f>'2.BilantNOPRO'!AL82</f>
        <v>34531.777777777781</v>
      </c>
      <c r="AQ12" s="316">
        <f>'2.BilantNOPRO'!AM82</f>
        <v>34531.777777777781</v>
      </c>
      <c r="AS12" s="41"/>
      <c r="AT12" s="38"/>
    </row>
    <row r="13" spans="1:46" s="43" customFormat="1" ht="14.25" customHeight="1" x14ac:dyDescent="0.3">
      <c r="A13" s="41"/>
      <c r="B13" s="300">
        <f>B12+1</f>
        <v>3</v>
      </c>
      <c r="C13" s="605" t="s">
        <v>436</v>
      </c>
      <c r="D13" s="606"/>
      <c r="E13" s="606"/>
      <c r="F13" s="606"/>
      <c r="G13" s="607"/>
      <c r="I13" s="315" t="s">
        <v>34</v>
      </c>
      <c r="M13" s="316">
        <f>M11-M12</f>
        <v>0</v>
      </c>
      <c r="N13" s="316">
        <f t="shared" ref="N13:AF13" si="0">N11-N12</f>
        <v>0</v>
      </c>
      <c r="O13" s="316">
        <f t="shared" si="0"/>
        <v>0</v>
      </c>
      <c r="P13" s="316">
        <f t="shared" si="0"/>
        <v>-198.3859999999986</v>
      </c>
      <c r="Q13" s="316">
        <f t="shared" si="0"/>
        <v>-541.76800000000367</v>
      </c>
      <c r="R13" s="316">
        <f t="shared" si="0"/>
        <v>-903.1339999999982</v>
      </c>
      <c r="S13" s="316">
        <f t="shared" si="0"/>
        <v>-903.1339999999982</v>
      </c>
      <c r="T13" s="316">
        <f t="shared" si="0"/>
        <v>-903.1339999999982</v>
      </c>
      <c r="U13" s="316">
        <f t="shared" si="0"/>
        <v>-903.1339999999982</v>
      </c>
      <c r="V13" s="316">
        <f t="shared" si="0"/>
        <v>-903.1339999999982</v>
      </c>
      <c r="W13" s="316">
        <f t="shared" si="0"/>
        <v>-903.1339999999982</v>
      </c>
      <c r="X13" s="316">
        <f t="shared" si="0"/>
        <v>-903.1339999999982</v>
      </c>
      <c r="Y13" s="316">
        <f t="shared" si="0"/>
        <v>-903.1339999999982</v>
      </c>
      <c r="Z13" s="316">
        <f t="shared" si="0"/>
        <v>-903.1339999999982</v>
      </c>
      <c r="AA13" s="316">
        <f t="shared" si="0"/>
        <v>-903.1339999999982</v>
      </c>
      <c r="AB13" s="316">
        <f t="shared" si="0"/>
        <v>-903.1339999999982</v>
      </c>
      <c r="AC13" s="316">
        <f t="shared" si="0"/>
        <v>-903.1339999999982</v>
      </c>
      <c r="AD13" s="316">
        <f t="shared" si="0"/>
        <v>-903.1339999999982</v>
      </c>
      <c r="AE13" s="316">
        <f t="shared" si="0"/>
        <v>-903.1339999999982</v>
      </c>
      <c r="AF13" s="316">
        <f t="shared" si="0"/>
        <v>-903.1339999999982</v>
      </c>
      <c r="AG13" s="316">
        <f t="shared" ref="AG13:AQ13" si="1">AG11-AG12</f>
        <v>-903.1339999999982</v>
      </c>
      <c r="AH13" s="316">
        <f t="shared" si="1"/>
        <v>-903.1339999999982</v>
      </c>
      <c r="AI13" s="316">
        <f t="shared" si="1"/>
        <v>-903.1339999999982</v>
      </c>
      <c r="AJ13" s="316">
        <f t="shared" si="1"/>
        <v>-903.1339999999982</v>
      </c>
      <c r="AK13" s="316">
        <f t="shared" si="1"/>
        <v>-903.1339999999982</v>
      </c>
      <c r="AL13" s="316">
        <f t="shared" si="1"/>
        <v>-903.1339999999982</v>
      </c>
      <c r="AM13" s="316">
        <f t="shared" si="1"/>
        <v>-903.1339999999982</v>
      </c>
      <c r="AN13" s="316">
        <f t="shared" si="1"/>
        <v>-903.1339999999982</v>
      </c>
      <c r="AO13" s="316">
        <f t="shared" si="1"/>
        <v>-903.1339999999982</v>
      </c>
      <c r="AP13" s="316">
        <f t="shared" si="1"/>
        <v>-903.1339999999982</v>
      </c>
      <c r="AQ13" s="316">
        <f t="shared" si="1"/>
        <v>-903.1339999999982</v>
      </c>
      <c r="AS13" s="41"/>
      <c r="AT13" s="38"/>
    </row>
    <row r="14" spans="1:46" s="317" customFormat="1" ht="15" customHeight="1" x14ac:dyDescent="0.3">
      <c r="A14" s="41"/>
      <c r="B14" s="300">
        <f>B13+1</f>
        <v>4</v>
      </c>
      <c r="C14" s="605" t="s">
        <v>437</v>
      </c>
      <c r="D14" s="606"/>
      <c r="E14" s="606"/>
      <c r="F14" s="606"/>
      <c r="G14" s="607"/>
      <c r="I14" s="315" t="s">
        <v>32</v>
      </c>
      <c r="J14" s="318"/>
      <c r="K14" s="318"/>
      <c r="L14" s="318"/>
      <c r="M14" s="319">
        <f>'1.Input'!O90*'1.Input'!O37</f>
        <v>1166.5932800067776</v>
      </c>
      <c r="N14" s="319">
        <f>'1.Input'!P90*'1.Input'!P37</f>
        <v>1331.296209738631</v>
      </c>
      <c r="O14" s="319">
        <f>'1.Input'!Q90*'1.Input'!Q37</f>
        <v>1502.02595339295</v>
      </c>
      <c r="P14" s="319">
        <f>'1.Input'!R90*'1.Input'!R37</f>
        <v>1676.4257568687108</v>
      </c>
      <c r="Q14" s="319">
        <f>'1.Input'!S90*'1.Input'!S37</f>
        <v>1854.4956201659129</v>
      </c>
      <c r="R14" s="319">
        <f>'1.Input'!T90*'1.Input'!T37</f>
        <v>2020.6917605113927</v>
      </c>
      <c r="S14" s="319">
        <f>'1.Input'!U90*'1.Input'!U37</f>
        <v>2179.7276861071964</v>
      </c>
      <c r="T14" s="319">
        <f>'1.Input'!V90*'1.Input'!V37</f>
        <v>2338.7636117030006</v>
      </c>
      <c r="U14" s="319">
        <f>'1.Input'!W90*'1.Input'!W37</f>
        <v>2600.7051362137368</v>
      </c>
      <c r="V14" s="319">
        <f>'1.Input'!X90*'1.Input'!X37</f>
        <v>2862.6466607244729</v>
      </c>
      <c r="W14" s="319">
        <f>'1.Input'!Y90*'1.Input'!Y37</f>
        <v>3124.588185235209</v>
      </c>
      <c r="X14" s="319">
        <f>'1.Input'!Z90*'1.Input'!Z37</f>
        <v>3386.5297097459447</v>
      </c>
      <c r="Y14" s="319">
        <f>'1.Input'!AA90*'1.Input'!AA37</f>
        <v>3648.4712342566809</v>
      </c>
      <c r="Z14" s="319">
        <f>'1.Input'!AB90*'1.Input'!AB37</f>
        <v>3901.0577043206054</v>
      </c>
      <c r="AA14" s="319">
        <f>'1.Input'!AC90*'1.Input'!AC37</f>
        <v>4153.6441743845289</v>
      </c>
      <c r="AB14" s="319">
        <f>'1.Input'!AD90*'1.Input'!AD37</f>
        <v>4406.2306444484529</v>
      </c>
      <c r="AC14" s="319">
        <f>'1.Input'!AE90*'1.Input'!AE37</f>
        <v>4658.817114512377</v>
      </c>
      <c r="AD14" s="319">
        <f>'1.Input'!AF90*'1.Input'!AF37</f>
        <v>4911.403584576301</v>
      </c>
      <c r="AE14" s="319">
        <f>'1.Input'!AG90*'1.Input'!AG37</f>
        <v>5163.990054640225</v>
      </c>
      <c r="AF14" s="319">
        <f>'1.Input'!AH90*'1.Input'!AH37</f>
        <v>5416.5765247041491</v>
      </c>
      <c r="AG14" s="319">
        <f>'1.Input'!AI90*'1.Input'!AI37</f>
        <v>5669.1629947680731</v>
      </c>
      <c r="AH14" s="319">
        <f>'1.Input'!AJ90*'1.Input'!AJ37</f>
        <v>5921.7494648319971</v>
      </c>
      <c r="AI14" s="319">
        <f>'1.Input'!AK90*'1.Input'!AK37</f>
        <v>6174.3359348959211</v>
      </c>
      <c r="AJ14" s="319">
        <f>'1.Input'!AL90*'1.Input'!AL37</f>
        <v>6436.2774594066568</v>
      </c>
      <c r="AK14" s="319">
        <f>'1.Input'!AM90*'1.Input'!AM37</f>
        <v>6698.2189839173943</v>
      </c>
      <c r="AL14" s="319">
        <f>'1.Input'!AN90*'1.Input'!AN37</f>
        <v>6960.16050842813</v>
      </c>
      <c r="AM14" s="319">
        <f>'1.Input'!AO90*'1.Input'!AO37</f>
        <v>7222.1020329388657</v>
      </c>
      <c r="AN14" s="319">
        <f>'1.Input'!AP90*'1.Input'!AP37</f>
        <v>7484.0435574496023</v>
      </c>
      <c r="AO14" s="319">
        <f>'1.Input'!AQ90*'1.Input'!AQ37</f>
        <v>7484.0435574496023</v>
      </c>
      <c r="AP14" s="319">
        <f>'1.Input'!AR90*'1.Input'!AR37</f>
        <v>7484.0435574496023</v>
      </c>
      <c r="AQ14" s="319">
        <f>'1.Input'!AS90*'1.Input'!AS37</f>
        <v>7484.0435574496023</v>
      </c>
      <c r="AS14" s="41"/>
      <c r="AT14" s="320"/>
    </row>
    <row r="15" spans="1:46" s="317" customFormat="1" ht="15" customHeight="1" x14ac:dyDescent="0.3">
      <c r="A15" s="41"/>
      <c r="B15" s="338">
        <f t="shared" ref="B15" si="2">B14+1</f>
        <v>5</v>
      </c>
      <c r="C15" s="697" t="s">
        <v>438</v>
      </c>
      <c r="D15" s="614"/>
      <c r="E15" s="614"/>
      <c r="F15" s="614"/>
      <c r="G15" s="698"/>
      <c r="I15" s="313" t="s">
        <v>407</v>
      </c>
      <c r="J15" s="318"/>
      <c r="K15" s="318"/>
      <c r="L15" s="318"/>
      <c r="M15" s="321">
        <f>-M13*M14/1000</f>
        <v>0</v>
      </c>
      <c r="N15" s="321">
        <f t="shared" ref="N15:AF15" si="3">-N13*N14/1000</f>
        <v>0</v>
      </c>
      <c r="O15" s="321">
        <f t="shared" si="3"/>
        <v>0</v>
      </c>
      <c r="P15" s="321">
        <f t="shared" si="3"/>
        <v>332.57940020215369</v>
      </c>
      <c r="Q15" s="321">
        <f t="shared" si="3"/>
        <v>1004.7063831460531</v>
      </c>
      <c r="R15" s="321">
        <f t="shared" si="3"/>
        <v>1824.9554324376925</v>
      </c>
      <c r="S15" s="321">
        <f t="shared" si="3"/>
        <v>1968.5861840647328</v>
      </c>
      <c r="T15" s="321">
        <f t="shared" si="3"/>
        <v>2112.2169356917734</v>
      </c>
      <c r="U15" s="321">
        <f t="shared" si="3"/>
        <v>2348.7852324892524</v>
      </c>
      <c r="V15" s="321">
        <f t="shared" si="3"/>
        <v>2585.3535292867309</v>
      </c>
      <c r="W15" s="321">
        <f t="shared" si="3"/>
        <v>2821.9218260842094</v>
      </c>
      <c r="X15" s="321">
        <f t="shared" si="3"/>
        <v>3058.4901228816875</v>
      </c>
      <c r="Y15" s="321">
        <f t="shared" si="3"/>
        <v>3295.0584196791669</v>
      </c>
      <c r="Z15" s="321">
        <f t="shared" si="3"/>
        <v>3523.1778487338788</v>
      </c>
      <c r="AA15" s="321">
        <f t="shared" si="3"/>
        <v>3751.2972777885898</v>
      </c>
      <c r="AB15" s="321">
        <f t="shared" si="3"/>
        <v>3979.4167068433012</v>
      </c>
      <c r="AC15" s="321">
        <f t="shared" si="3"/>
        <v>4207.5361358980126</v>
      </c>
      <c r="AD15" s="321">
        <f t="shared" si="3"/>
        <v>4435.6555649527245</v>
      </c>
      <c r="AE15" s="321">
        <f t="shared" si="3"/>
        <v>4663.7749940074355</v>
      </c>
      <c r="AF15" s="321">
        <f t="shared" si="3"/>
        <v>4891.8944230621473</v>
      </c>
      <c r="AG15" s="321">
        <f t="shared" ref="AG15:AQ15" si="4">-AG13*AG14/1000</f>
        <v>5120.0138521168583</v>
      </c>
      <c r="AH15" s="321">
        <f t="shared" si="4"/>
        <v>5348.1332811715702</v>
      </c>
      <c r="AI15" s="321">
        <f t="shared" si="4"/>
        <v>5576.2527102262811</v>
      </c>
      <c r="AJ15" s="321">
        <f t="shared" si="4"/>
        <v>5812.8210070237601</v>
      </c>
      <c r="AK15" s="321">
        <f t="shared" si="4"/>
        <v>6049.38930382124</v>
      </c>
      <c r="AL15" s="321">
        <f t="shared" si="4"/>
        <v>6285.9576006187181</v>
      </c>
      <c r="AM15" s="321">
        <f t="shared" si="4"/>
        <v>6522.525897416197</v>
      </c>
      <c r="AN15" s="321">
        <f t="shared" si="4"/>
        <v>6759.0941942136751</v>
      </c>
      <c r="AO15" s="321">
        <f t="shared" si="4"/>
        <v>6759.0941942136751</v>
      </c>
      <c r="AP15" s="321">
        <f t="shared" si="4"/>
        <v>6759.0941942136751</v>
      </c>
      <c r="AQ15" s="321">
        <f t="shared" si="4"/>
        <v>6759.0941942136751</v>
      </c>
      <c r="AS15" s="41"/>
      <c r="AT15" s="320"/>
    </row>
    <row r="16" spans="1:46" s="317" customFormat="1" ht="17.25" thickBot="1" x14ac:dyDescent="0.35">
      <c r="A16" s="41"/>
      <c r="B16" s="300"/>
      <c r="C16" s="347"/>
      <c r="D16" s="347"/>
      <c r="E16" s="347"/>
      <c r="F16" s="347"/>
      <c r="G16" s="347"/>
      <c r="I16" s="348"/>
      <c r="J16" s="318"/>
      <c r="K16" s="318"/>
      <c r="L16" s="318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S16" s="41"/>
      <c r="AT16" s="320"/>
    </row>
    <row r="17" spans="1:46" s="317" customFormat="1" ht="27" customHeight="1" thickBot="1" x14ac:dyDescent="0.35">
      <c r="A17" s="41"/>
      <c r="B17" s="296"/>
      <c r="C17" s="684" t="s">
        <v>439</v>
      </c>
      <c r="D17" s="685"/>
      <c r="E17" s="685"/>
      <c r="F17" s="685"/>
      <c r="G17" s="68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S17" s="41"/>
      <c r="AT17" s="320"/>
    </row>
    <row r="18" spans="1:46" s="317" customFormat="1" x14ac:dyDescent="0.3">
      <c r="A18" s="41"/>
      <c r="B18" s="300">
        <f>B15+1</f>
        <v>6</v>
      </c>
      <c r="C18" s="605" t="s">
        <v>588</v>
      </c>
      <c r="D18" s="606"/>
      <c r="E18" s="606"/>
      <c r="F18" s="606"/>
      <c r="G18" s="607"/>
      <c r="H18" s="43"/>
      <c r="I18" s="315" t="s">
        <v>359</v>
      </c>
      <c r="J18" s="43"/>
      <c r="K18" s="43"/>
      <c r="L18" s="43"/>
      <c r="M18" s="316">
        <f>-('3.BilantPRO'!I46-'2.BilantNOPRO'!I46)*1000</f>
        <v>0</v>
      </c>
      <c r="N18" s="316">
        <f>-('3.BilantPRO'!J46-'2.BilantNOPRO'!J46)*1000</f>
        <v>0</v>
      </c>
      <c r="O18" s="316">
        <f>-('3.BilantPRO'!K46-'2.BilantNOPRO'!K46)*1000</f>
        <v>0</v>
      </c>
      <c r="P18" s="316">
        <f>-('3.BilantPRO'!L46-'2.BilantNOPRO'!L46)*1000</f>
        <v>5793.1207727875744</v>
      </c>
      <c r="Q18" s="316">
        <f>-('3.BilantPRO'!M46-'2.BilantNOPRO'!M46)*1000</f>
        <v>15839.938874166335</v>
      </c>
      <c r="R18" s="316">
        <f>-('3.BilantPRO'!N46-'2.BilantNOPRO'!N46)*1000</f>
        <v>27337.776892434191</v>
      </c>
      <c r="S18" s="316">
        <f>-('3.BilantPRO'!O46-'2.BilantNOPRO'!O46)*1000</f>
        <v>26801.496419706182</v>
      </c>
      <c r="T18" s="316">
        <f>-('3.BilantPRO'!P46-'2.BilantNOPRO'!P46)*1000</f>
        <v>26277.314850020302</v>
      </c>
      <c r="U18" s="316">
        <f>-('3.BilantPRO'!Q46-'2.BilantNOPRO'!Q46)*1000</f>
        <v>25764.998456503406</v>
      </c>
      <c r="V18" s="316">
        <f>-('3.BilantPRO'!R46-'2.BilantNOPRO'!R46)*1000</f>
        <v>25264.317904298765</v>
      </c>
      <c r="W18" s="316">
        <f>-('3.BilantPRO'!S46-'2.BilantNOPRO'!S46)*1000</f>
        <v>24775.048168485824</v>
      </c>
      <c r="X18" s="316">
        <f>-('3.BilantPRO'!T46-'2.BilantNOPRO'!T46)*1000</f>
        <v>24296.968453532401</v>
      </c>
      <c r="Y18" s="316">
        <f>-('3.BilantPRO'!U46-'2.BilantNOPRO'!U46)*1000</f>
        <v>23829.86211425026</v>
      </c>
      <c r="Z18" s="316">
        <f>-('3.BilantPRO'!V46-'2.BilantNOPRO'!V46)*1000</f>
        <v>23373.516578226743</v>
      </c>
      <c r="AA18" s="316">
        <f>-('3.BilantPRO'!W46-'2.BilantNOPRO'!W46)*1000</f>
        <v>22927.723269703849</v>
      </c>
      <c r="AB18" s="316">
        <f>-('3.BilantPRO'!X46-'2.BilantNOPRO'!X46)*1000</f>
        <v>22492.277534878922</v>
      </c>
      <c r="AC18" s="316">
        <f>-('3.BilantPRO'!Y46-'2.BilantNOPRO'!Y46)*1000</f>
        <v>22066.97856859941</v>
      </c>
      <c r="AD18" s="316">
        <f>-('3.BilantPRO'!Z46-'2.BilantNOPRO'!Z46)*1000</f>
        <v>21651.629342426448</v>
      </c>
      <c r="AE18" s="316">
        <f>-('3.BilantPRO'!AA46-'2.BilantNOPRO'!AA46)*1000</f>
        <v>21246.036534041054</v>
      </c>
      <c r="AF18" s="316">
        <f>-('3.BilantPRO'!AB46-'2.BilantNOPRO'!AB46)*1000</f>
        <v>20850.010457968467</v>
      </c>
      <c r="AG18" s="316">
        <f>-('3.BilantPRO'!AC46-'2.BilantNOPRO'!AC46)*1000</f>
        <v>20463.364997595534</v>
      </c>
      <c r="AH18" s="316">
        <f>-('3.BilantPRO'!AD46-'2.BilantNOPRO'!AD46)*1000</f>
        <v>20014.9149189987</v>
      </c>
      <c r="AI18" s="316">
        <f>-('3.BilantPRO'!AE46-'2.BilantNOPRO'!AE46)*1000</f>
        <v>19568.323784044736</v>
      </c>
      <c r="AJ18" s="316">
        <f>-('3.BilantPRO'!AF46-'2.BilantNOPRO'!AF46)*1000</f>
        <v>19123.559875511546</v>
      </c>
      <c r="AK18" s="316">
        <f>-('3.BilantPRO'!AG46-'2.BilantNOPRO'!AG46)*1000</f>
        <v>18680.591727710151</v>
      </c>
      <c r="AL18" s="316">
        <f>-('3.BilantPRO'!AH46-'2.BilantNOPRO'!AH46)*1000</f>
        <v>18239.388123641533</v>
      </c>
      <c r="AM18" s="316">
        <f>-('3.BilantPRO'!AI46-'2.BilantNOPRO'!AI46)*1000</f>
        <v>17799.918092179723</v>
      </c>
      <c r="AN18" s="316">
        <f>-('3.BilantPRO'!AJ46-'2.BilantNOPRO'!AJ46)*1000</f>
        <v>17362.150905281338</v>
      </c>
      <c r="AO18" s="316">
        <f>-('3.BilantPRO'!AK46-'2.BilantNOPRO'!AK46)*1000</f>
        <v>16926.056075222106</v>
      </c>
      <c r="AP18" s="316">
        <f>-('3.BilantPRO'!AL46-'2.BilantNOPRO'!AL46)*1000</f>
        <v>16491.603351858372</v>
      </c>
      <c r="AQ18" s="316">
        <f>-('3.BilantPRO'!AM46-'2.BilantNOPRO'!AM46)*1000</f>
        <v>16058.762719915279</v>
      </c>
      <c r="AS18" s="41"/>
      <c r="AT18" s="320"/>
    </row>
    <row r="19" spans="1:46" s="317" customFormat="1" x14ac:dyDescent="0.3">
      <c r="A19" s="41"/>
      <c r="B19" s="300">
        <f>B18+1</f>
        <v>7</v>
      </c>
      <c r="C19" s="605" t="s">
        <v>440</v>
      </c>
      <c r="D19" s="606"/>
      <c r="E19" s="606"/>
      <c r="F19" s="606"/>
      <c r="G19" s="607"/>
      <c r="H19" s="43"/>
      <c r="I19" s="315" t="s">
        <v>144</v>
      </c>
      <c r="J19" s="43"/>
      <c r="K19" s="350">
        <v>10</v>
      </c>
      <c r="L19" s="43"/>
      <c r="M19" s="316">
        <f>$K$19*'1.Input'!O37</f>
        <v>49.5</v>
      </c>
      <c r="N19" s="316">
        <f>$K$19*'1.Input'!P37</f>
        <v>50</v>
      </c>
      <c r="O19" s="316">
        <f>$K$19*'1.Input'!Q37</f>
        <v>50.599999999999994</v>
      </c>
      <c r="P19" s="316">
        <f>$K$19*'1.Input'!R37</f>
        <v>51.2</v>
      </c>
      <c r="Q19" s="316">
        <f>$K$19*'1.Input'!S37</f>
        <v>51.8</v>
      </c>
      <c r="R19" s="316">
        <f>$K$19*'1.Input'!T37</f>
        <v>52</v>
      </c>
      <c r="S19" s="316">
        <f>$K$19*'1.Input'!U37</f>
        <v>52</v>
      </c>
      <c r="T19" s="316">
        <f>$K$19*'1.Input'!V37</f>
        <v>52</v>
      </c>
      <c r="U19" s="316">
        <f>$K$19*'1.Input'!W37</f>
        <v>52</v>
      </c>
      <c r="V19" s="316">
        <f>$K$19*'1.Input'!X37</f>
        <v>52</v>
      </c>
      <c r="W19" s="316">
        <f>$K$19*'1.Input'!Y37</f>
        <v>52</v>
      </c>
      <c r="X19" s="316">
        <f>$K$19*'1.Input'!Z37</f>
        <v>52</v>
      </c>
      <c r="Y19" s="316">
        <f>$K$19*'1.Input'!AA37</f>
        <v>52</v>
      </c>
      <c r="Z19" s="316">
        <f>$K$19*'1.Input'!AB37</f>
        <v>52</v>
      </c>
      <c r="AA19" s="316">
        <f>$K$19*'1.Input'!AC37</f>
        <v>52</v>
      </c>
      <c r="AB19" s="316">
        <f>$K$19*'1.Input'!AD37</f>
        <v>52</v>
      </c>
      <c r="AC19" s="316">
        <f>$K$19*'1.Input'!AE37</f>
        <v>52</v>
      </c>
      <c r="AD19" s="316">
        <f>$K$19*'1.Input'!AF37</f>
        <v>52</v>
      </c>
      <c r="AE19" s="316">
        <f>$K$19*'1.Input'!AG37</f>
        <v>52</v>
      </c>
      <c r="AF19" s="316">
        <f>$K$19*'1.Input'!AH37</f>
        <v>52</v>
      </c>
      <c r="AG19" s="316">
        <f>$K$19*'1.Input'!AI37</f>
        <v>52</v>
      </c>
      <c r="AH19" s="316">
        <f>$K$19*'1.Input'!AJ37</f>
        <v>52</v>
      </c>
      <c r="AI19" s="316">
        <f>$K$19*'1.Input'!AK37</f>
        <v>52</v>
      </c>
      <c r="AJ19" s="316">
        <f>$K$19*'1.Input'!AL37</f>
        <v>52</v>
      </c>
      <c r="AK19" s="316">
        <f>$K$19*'1.Input'!AM37</f>
        <v>52</v>
      </c>
      <c r="AL19" s="316">
        <f>$K$19*'1.Input'!AN37</f>
        <v>52</v>
      </c>
      <c r="AM19" s="316">
        <f>$K$19*'1.Input'!AO37</f>
        <v>52</v>
      </c>
      <c r="AN19" s="316">
        <f>$K$19*'1.Input'!AP37</f>
        <v>52</v>
      </c>
      <c r="AO19" s="316">
        <f>$K$19*'1.Input'!AQ37</f>
        <v>52</v>
      </c>
      <c r="AP19" s="316">
        <f>$K$19*'1.Input'!AR37</f>
        <v>52</v>
      </c>
      <c r="AQ19" s="316">
        <f>$K$19*'1.Input'!AS37</f>
        <v>52</v>
      </c>
      <c r="AS19" s="41"/>
      <c r="AT19" s="320"/>
    </row>
    <row r="20" spans="1:46" s="317" customFormat="1" x14ac:dyDescent="0.3">
      <c r="A20" s="41"/>
      <c r="B20" s="338">
        <f>B19+1</f>
        <v>8</v>
      </c>
      <c r="C20" s="697" t="s">
        <v>587</v>
      </c>
      <c r="D20" s="614"/>
      <c r="E20" s="614"/>
      <c r="F20" s="614"/>
      <c r="G20" s="698"/>
      <c r="I20" s="313" t="s">
        <v>407</v>
      </c>
      <c r="J20" s="318"/>
      <c r="K20" s="318"/>
      <c r="L20" s="318"/>
      <c r="M20" s="321">
        <f>M18*M19/1000</f>
        <v>0</v>
      </c>
      <c r="N20" s="321">
        <f t="shared" ref="N20:AF20" si="5">N18*N19/1000</f>
        <v>0</v>
      </c>
      <c r="O20" s="321">
        <f t="shared" si="5"/>
        <v>0</v>
      </c>
      <c r="P20" s="321">
        <f t="shared" si="5"/>
        <v>296.60778356672381</v>
      </c>
      <c r="Q20" s="321">
        <f t="shared" si="5"/>
        <v>820.5088336818161</v>
      </c>
      <c r="R20" s="321">
        <f t="shared" si="5"/>
        <v>1421.564398406578</v>
      </c>
      <c r="S20" s="321">
        <f t="shared" si="5"/>
        <v>1393.6778138247214</v>
      </c>
      <c r="T20" s="321">
        <f t="shared" si="5"/>
        <v>1366.4203722010557</v>
      </c>
      <c r="U20" s="321">
        <f t="shared" si="5"/>
        <v>1339.7799197381771</v>
      </c>
      <c r="V20" s="321">
        <f t="shared" si="5"/>
        <v>1313.744531023536</v>
      </c>
      <c r="W20" s="321">
        <f t="shared" si="5"/>
        <v>1288.3025047612628</v>
      </c>
      <c r="X20" s="321">
        <f t="shared" si="5"/>
        <v>1263.4423595836849</v>
      </c>
      <c r="Y20" s="321">
        <f t="shared" si="5"/>
        <v>1239.1528299410136</v>
      </c>
      <c r="Z20" s="321">
        <f t="shared" si="5"/>
        <v>1215.4228620677907</v>
      </c>
      <c r="AA20" s="321">
        <f t="shared" si="5"/>
        <v>1192.2416100246</v>
      </c>
      <c r="AB20" s="321">
        <f t="shared" si="5"/>
        <v>1169.5984318137039</v>
      </c>
      <c r="AC20" s="321">
        <f t="shared" si="5"/>
        <v>1147.4828855671694</v>
      </c>
      <c r="AD20" s="321">
        <f t="shared" si="5"/>
        <v>1125.8847258061753</v>
      </c>
      <c r="AE20" s="321">
        <f t="shared" si="5"/>
        <v>1104.7938997701349</v>
      </c>
      <c r="AF20" s="321">
        <f t="shared" si="5"/>
        <v>1084.2005438143601</v>
      </c>
      <c r="AG20" s="321">
        <f t="shared" ref="AG20:AQ20" si="6">AG18*AG19/1000</f>
        <v>1064.0949798749677</v>
      </c>
      <c r="AH20" s="321">
        <f t="shared" si="6"/>
        <v>1040.7755757879324</v>
      </c>
      <c r="AI20" s="321">
        <f t="shared" si="6"/>
        <v>1017.5528367703263</v>
      </c>
      <c r="AJ20" s="321">
        <f t="shared" si="6"/>
        <v>994.4251135266004</v>
      </c>
      <c r="AK20" s="321">
        <f t="shared" si="6"/>
        <v>971.39076984092776</v>
      </c>
      <c r="AL20" s="321">
        <f t="shared" si="6"/>
        <v>948.4481824293598</v>
      </c>
      <c r="AM20" s="321">
        <f t="shared" si="6"/>
        <v>925.59574079334561</v>
      </c>
      <c r="AN20" s="321">
        <f t="shared" si="6"/>
        <v>902.83184707462965</v>
      </c>
      <c r="AO20" s="321">
        <f t="shared" si="6"/>
        <v>880.15491591154944</v>
      </c>
      <c r="AP20" s="321">
        <f t="shared" si="6"/>
        <v>857.5633742966354</v>
      </c>
      <c r="AQ20" s="321">
        <f t="shared" si="6"/>
        <v>835.05566143559452</v>
      </c>
      <c r="AS20" s="41"/>
      <c r="AT20" s="320"/>
    </row>
    <row r="21" spans="1:46" s="317" customFormat="1" x14ac:dyDescent="0.3">
      <c r="A21" s="41"/>
      <c r="B21" s="300"/>
      <c r="C21" s="347"/>
      <c r="D21" s="347"/>
      <c r="E21" s="347"/>
      <c r="F21" s="347"/>
      <c r="G21" s="347"/>
      <c r="I21" s="348"/>
      <c r="J21" s="318"/>
      <c r="K21" s="318"/>
      <c r="L21" s="318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S21" s="41"/>
      <c r="AT21" s="320"/>
    </row>
    <row r="22" spans="1:46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</row>
  </sheetData>
  <sheetProtection algorithmName="SHA-512" hashValue="oOTMWJvIoeK1U6VnTmrcicSyqcTPz/wRboJfBxY/mO+WNJijx8Ebtm8y8wR3IeU58rgnGkI8TbeWpwyfrVD+Jg==" saltValue="Ci+wg9hY/3zuoIFUXHOA8A==" spinCount="100000" sheet="1" objects="1" scenarios="1"/>
  <mergeCells count="14">
    <mergeCell ref="D3:I3"/>
    <mergeCell ref="D4:I4"/>
    <mergeCell ref="C8:H8"/>
    <mergeCell ref="C10:G10"/>
    <mergeCell ref="N3:AQ3"/>
    <mergeCell ref="C20:G20"/>
    <mergeCell ref="C17:G17"/>
    <mergeCell ref="C18:G18"/>
    <mergeCell ref="C19:G19"/>
    <mergeCell ref="C11:G11"/>
    <mergeCell ref="C12:G12"/>
    <mergeCell ref="C13:G13"/>
    <mergeCell ref="C14:G14"/>
    <mergeCell ref="C15:G15"/>
  </mergeCells>
  <pageMargins left="0.7" right="0.7" top="0.75" bottom="0.75" header="0.3" footer="0.3"/>
  <pageSetup paperSize="9" scale="2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600D-7BC8-4DA0-B573-682821C04D63}">
  <sheetPr>
    <pageSetUpPr fitToPage="1"/>
  </sheetPr>
  <dimension ref="A1:AV99"/>
  <sheetViews>
    <sheetView topLeftCell="A64" zoomScale="82" zoomScaleNormal="82" workbookViewId="0">
      <selection activeCell="P95" sqref="P95"/>
    </sheetView>
  </sheetViews>
  <sheetFormatPr defaultColWidth="9.140625" defaultRowHeight="16.5" outlineLevelCol="1" x14ac:dyDescent="0.3"/>
  <cols>
    <col min="1" max="1" width="3.85546875" style="38" customWidth="1"/>
    <col min="2" max="2" width="3.28515625" style="296" customWidth="1"/>
    <col min="3" max="3" width="14.140625" style="351" customWidth="1"/>
    <col min="4" max="6" width="9.140625" style="351"/>
    <col min="7" max="7" width="14.85546875" style="351" customWidth="1"/>
    <col min="8" max="8" width="4" style="38" customWidth="1"/>
    <col min="9" max="9" width="12.28515625" style="38" customWidth="1"/>
    <col min="10" max="10" width="4" style="38" customWidth="1"/>
    <col min="11" max="11" width="15.140625" style="38" customWidth="1"/>
    <col min="12" max="12" width="4" style="38" customWidth="1"/>
    <col min="13" max="13" width="7.28515625" style="38" customWidth="1" outlineLevel="1"/>
    <col min="14" max="14" width="6.140625" style="38" customWidth="1" outlineLevel="1"/>
    <col min="15" max="15" width="4" style="38" customWidth="1"/>
    <col min="16" max="35" width="12.7109375" style="38" customWidth="1"/>
    <col min="36" max="46" width="11.5703125" style="38" customWidth="1"/>
    <col min="47" max="59" width="4.5703125" style="38" customWidth="1"/>
    <col min="60" max="16384" width="9.140625" style="38"/>
  </cols>
  <sheetData>
    <row r="1" spans="1:48" ht="15" customHeight="1" x14ac:dyDescent="0.3"/>
    <row r="2" spans="1:48" ht="15" customHeight="1" x14ac:dyDescent="0.3">
      <c r="P2" s="313">
        <v>0</v>
      </c>
      <c r="Q2" s="313">
        <v>1</v>
      </c>
      <c r="R2" s="313">
        <f>IF(AND(Q2+1&lt;='1.Input'!$I$20,'8.IRR+FG'!Q2&gt;0),'8.IRR+FG'!Q2+1,0)</f>
        <v>2</v>
      </c>
      <c r="S2" s="313">
        <f>IF(AND(R2+1&lt;='1.Input'!$I$20,'8.IRR+FG'!R2&gt;0),'8.IRR+FG'!R2+1,0)</f>
        <v>3</v>
      </c>
      <c r="T2" s="313">
        <f>IF(AND(S2+1&lt;='1.Input'!$I$20,'8.IRR+FG'!S2&gt;0),'8.IRR+FG'!S2+1,0)</f>
        <v>4</v>
      </c>
      <c r="U2" s="313">
        <f>IF(AND(T2+1&lt;='1.Input'!$I$20,'8.IRR+FG'!T2&gt;0),'8.IRR+FG'!T2+1,0)</f>
        <v>5</v>
      </c>
      <c r="V2" s="313">
        <f>IF(AND(U2+1&lt;='1.Input'!$I$20,'8.IRR+FG'!U2&gt;0),'8.IRR+FG'!U2+1,0)</f>
        <v>6</v>
      </c>
      <c r="W2" s="313">
        <f>IF(AND(V2+1&lt;='1.Input'!$I$20,'8.IRR+FG'!V2&gt;0),'8.IRR+FG'!V2+1,0)</f>
        <v>7</v>
      </c>
      <c r="X2" s="313">
        <f>IF(AND(W2+1&lt;='1.Input'!$I$20,'8.IRR+FG'!W2&gt;0),'8.IRR+FG'!W2+1,0)</f>
        <v>8</v>
      </c>
      <c r="Y2" s="313">
        <f>IF(AND(X2+1&lt;='1.Input'!$I$20,'8.IRR+FG'!X2&gt;0),'8.IRR+FG'!X2+1,0)</f>
        <v>9</v>
      </c>
      <c r="Z2" s="313">
        <f>IF(AND(Y2+1&lt;='1.Input'!$I$20,'8.IRR+FG'!Y2&gt;0),'8.IRR+FG'!Y2+1,0)</f>
        <v>10</v>
      </c>
      <c r="AA2" s="313">
        <f>IF(AND(Z2+1&lt;='1.Input'!$I$20,'8.IRR+FG'!Z2&gt;0),'8.IRR+FG'!Z2+1,0)</f>
        <v>11</v>
      </c>
      <c r="AB2" s="313">
        <f>IF(AND(AA2+1&lt;='1.Input'!$I$20,'8.IRR+FG'!AA2&gt;0),'8.IRR+FG'!AA2+1,0)</f>
        <v>12</v>
      </c>
      <c r="AC2" s="313">
        <f>IF(AND(AB2+1&lt;='1.Input'!$I$20,'8.IRR+FG'!AB2&gt;0),'8.IRR+FG'!AB2+1,0)</f>
        <v>13</v>
      </c>
      <c r="AD2" s="313">
        <f>IF(AND(AC2+1&lt;='1.Input'!$I$20,'8.IRR+FG'!AC2&gt;0),'8.IRR+FG'!AC2+1,0)</f>
        <v>14</v>
      </c>
      <c r="AE2" s="313">
        <f>IF(AND(AD2+1&lt;='1.Input'!$I$20,'8.IRR+FG'!AD2&gt;0),'8.IRR+FG'!AD2+1,0)</f>
        <v>15</v>
      </c>
      <c r="AF2" s="313">
        <f>IF(AND(AE2+1&lt;='1.Input'!$I$20,'8.IRR+FG'!AE2&gt;0),'8.IRR+FG'!AE2+1,0)</f>
        <v>16</v>
      </c>
      <c r="AG2" s="313">
        <f>IF(AND(AF2+1&lt;='1.Input'!$I$20,'8.IRR+FG'!AF2&gt;0),'8.IRR+FG'!AF2+1,0)</f>
        <v>17</v>
      </c>
      <c r="AH2" s="313">
        <f>IF(AND(AG2+1&lt;='1.Input'!$I$20,'8.IRR+FG'!AG2&gt;0),'8.IRR+FG'!AG2+1,0)</f>
        <v>18</v>
      </c>
      <c r="AI2" s="313">
        <f>IF(AND(AH2+1&lt;='1.Input'!$I$20,'8.IRR+FG'!AH2&gt;0),'8.IRR+FG'!AH2+1,0)</f>
        <v>19</v>
      </c>
      <c r="AJ2" s="313">
        <f>IF(AND(AI2+1&lt;='1.Input'!$I$20,'8.IRR+FG'!AI2&gt;0),'8.IRR+FG'!AI2+1,0)</f>
        <v>20</v>
      </c>
      <c r="AK2" s="313">
        <f>IF(AND(AJ2+1&lt;='1.Input'!$I$20,'8.IRR+FG'!AJ2&gt;0),'8.IRR+FG'!AJ2+1,0)</f>
        <v>21</v>
      </c>
      <c r="AL2" s="313">
        <f>IF(AND(AK2+1&lt;='1.Input'!$I$20,'8.IRR+FG'!AK2&gt;0),'8.IRR+FG'!AK2+1,0)</f>
        <v>22</v>
      </c>
      <c r="AM2" s="313">
        <f>IF(AND(AL2+1&lt;='1.Input'!$I$20,'8.IRR+FG'!AL2&gt;0),'8.IRR+FG'!AL2+1,0)</f>
        <v>23</v>
      </c>
      <c r="AN2" s="313">
        <f>IF(AND(AM2+1&lt;='1.Input'!$I$20,'8.IRR+FG'!AM2&gt;0),'8.IRR+FG'!AM2+1,0)</f>
        <v>24</v>
      </c>
      <c r="AO2" s="313">
        <f>IF(AND(AN2+1&lt;='1.Input'!$I$20,'8.IRR+FG'!AN2&gt;0),'8.IRR+FG'!AN2+1,0)</f>
        <v>25</v>
      </c>
      <c r="AP2" s="313">
        <f>IF(AND(AO2+1&lt;='1.Input'!$I$20,'8.IRR+FG'!AO2&gt;0),'8.IRR+FG'!AO2+1,0)</f>
        <v>26</v>
      </c>
      <c r="AQ2" s="313">
        <f>IF(AND(AP2+1&lt;='1.Input'!$I$20,'8.IRR+FG'!AP2&gt;0),'8.IRR+FG'!AP2+1,0)</f>
        <v>27</v>
      </c>
      <c r="AR2" s="313">
        <f>IF(AND(AQ2+1&lt;='1.Input'!$I$20,'8.IRR+FG'!AQ2&gt;0),'8.IRR+FG'!AQ2+1,0)</f>
        <v>28</v>
      </c>
      <c r="AS2" s="313">
        <f>IF(AND(AR2+1&lt;='1.Input'!$I$20,'8.IRR+FG'!AR2&gt;0),'8.IRR+FG'!AR2+1,0)</f>
        <v>29</v>
      </c>
      <c r="AT2" s="313">
        <f>IF(AND(AS2+1&lt;='1.Input'!$I$20,'8.IRR+FG'!AS2&gt;0),'8.IRR+FG'!AS2+1,0)</f>
        <v>30</v>
      </c>
    </row>
    <row r="3" spans="1:48" ht="22.5" customHeight="1" x14ac:dyDescent="0.3">
      <c r="C3" s="352" t="s">
        <v>0</v>
      </c>
      <c r="D3" s="687" t="str">
        <f>'6.Venituri'!D3</f>
        <v>PRIMARIA MUNICIPIULUI SUCEAVA</v>
      </c>
      <c r="E3" s="687"/>
      <c r="F3" s="687"/>
      <c r="G3" s="687"/>
      <c r="H3" s="687"/>
      <c r="I3" s="687"/>
      <c r="J3" s="298"/>
      <c r="K3" s="298"/>
      <c r="L3" s="298"/>
      <c r="M3" s="298"/>
      <c r="N3" s="298"/>
      <c r="O3" s="298"/>
      <c r="P3" s="39" t="s">
        <v>17</v>
      </c>
      <c r="Q3" s="613" t="s">
        <v>18</v>
      </c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</row>
    <row r="4" spans="1:48" ht="30.75" customHeight="1" x14ac:dyDescent="0.3">
      <c r="C4" s="352" t="s">
        <v>1</v>
      </c>
      <c r="D4" s="664" t="str">
        <f>'6.Venituri'!D4</f>
        <v>Reabilitarea sistemului de transport și distribuție energie termică în municipiul Suceava</v>
      </c>
      <c r="E4" s="664"/>
      <c r="F4" s="664"/>
      <c r="G4" s="664"/>
      <c r="H4" s="664"/>
      <c r="I4" s="664"/>
      <c r="J4" s="298"/>
      <c r="K4" s="298"/>
      <c r="L4" s="298"/>
      <c r="M4" s="298"/>
      <c r="N4" s="298"/>
      <c r="O4" s="298"/>
      <c r="P4" s="40">
        <f>'1.Input'!O4</f>
        <v>2023</v>
      </c>
      <c r="Q4" s="583">
        <f>'1.Input'!P4</f>
        <v>2024</v>
      </c>
      <c r="R4" s="583">
        <f>'1.Input'!Q4</f>
        <v>2025</v>
      </c>
      <c r="S4" s="583">
        <f>'1.Input'!R4</f>
        <v>2026</v>
      </c>
      <c r="T4" s="583">
        <f>'1.Input'!S4</f>
        <v>2027</v>
      </c>
      <c r="U4" s="583">
        <f>'1.Input'!T4</f>
        <v>2028</v>
      </c>
      <c r="V4" s="583">
        <f>'1.Input'!U4</f>
        <v>2029</v>
      </c>
      <c r="W4" s="583">
        <f>'1.Input'!V4</f>
        <v>2030</v>
      </c>
      <c r="X4" s="583">
        <f>'1.Input'!W4</f>
        <v>2031</v>
      </c>
      <c r="Y4" s="583">
        <f>'1.Input'!X4</f>
        <v>2032</v>
      </c>
      <c r="Z4" s="583">
        <f>'1.Input'!Y4</f>
        <v>2033</v>
      </c>
      <c r="AA4" s="583">
        <f>'1.Input'!Z4</f>
        <v>2034</v>
      </c>
      <c r="AB4" s="583">
        <f>'1.Input'!AA4</f>
        <v>2035</v>
      </c>
      <c r="AC4" s="583">
        <f>'1.Input'!AB4</f>
        <v>2036</v>
      </c>
      <c r="AD4" s="583">
        <f>'1.Input'!AC4</f>
        <v>2037</v>
      </c>
      <c r="AE4" s="583">
        <f>'1.Input'!AD4</f>
        <v>2038</v>
      </c>
      <c r="AF4" s="583">
        <f>'1.Input'!AE4</f>
        <v>2039</v>
      </c>
      <c r="AG4" s="583">
        <f>'1.Input'!AF4</f>
        <v>2040</v>
      </c>
      <c r="AH4" s="583">
        <f>'1.Input'!AG4</f>
        <v>2041</v>
      </c>
      <c r="AI4" s="583">
        <f>'1.Input'!AH4</f>
        <v>2042</v>
      </c>
      <c r="AJ4" s="583">
        <f>'1.Input'!AI4</f>
        <v>2043</v>
      </c>
      <c r="AK4" s="583">
        <f>'1.Input'!AJ4</f>
        <v>2044</v>
      </c>
      <c r="AL4" s="583">
        <f>'1.Input'!AK4</f>
        <v>2045</v>
      </c>
      <c r="AM4" s="583">
        <f>'1.Input'!AL4</f>
        <v>2046</v>
      </c>
      <c r="AN4" s="583">
        <f>'1.Input'!AM4</f>
        <v>2047</v>
      </c>
      <c r="AO4" s="583">
        <f>'1.Input'!AN4</f>
        <v>2048</v>
      </c>
      <c r="AP4" s="583">
        <f>'1.Input'!AO4</f>
        <v>2049</v>
      </c>
      <c r="AQ4" s="583">
        <f>'1.Input'!AP4</f>
        <v>2050</v>
      </c>
      <c r="AR4" s="583">
        <f>'1.Input'!AQ4</f>
        <v>2051</v>
      </c>
      <c r="AS4" s="583">
        <f>'1.Input'!AR4</f>
        <v>2052</v>
      </c>
      <c r="AT4" s="583">
        <f>'1.Input'!AS4</f>
        <v>2053</v>
      </c>
    </row>
    <row r="7" spans="1:48" ht="17.25" thickBot="1" x14ac:dyDescent="0.35">
      <c r="A7" s="41"/>
      <c r="B7" s="41"/>
      <c r="C7" s="237"/>
      <c r="D7" s="237"/>
      <c r="E7" s="237"/>
      <c r="F7" s="237"/>
      <c r="G7" s="237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ht="15.75" customHeight="1" thickBot="1" x14ac:dyDescent="0.35">
      <c r="A8" s="41"/>
      <c r="B8" s="41"/>
      <c r="C8" s="615" t="s">
        <v>65</v>
      </c>
      <c r="D8" s="616"/>
      <c r="E8" s="616"/>
      <c r="F8" s="616"/>
      <c r="G8" s="616"/>
      <c r="H8" s="61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s="43" customFormat="1" x14ac:dyDescent="0.3">
      <c r="A9" s="41"/>
      <c r="B9" s="296"/>
      <c r="C9" s="42"/>
      <c r="D9" s="42"/>
      <c r="E9" s="42"/>
      <c r="F9" s="42"/>
      <c r="G9" s="42"/>
      <c r="K9" s="353" t="str">
        <f>"NPV @ "&amp;TEXT(RAF,"0,0%")</f>
        <v>NPV @ 4,0%</v>
      </c>
      <c r="AD9" s="38"/>
      <c r="AV9" s="41"/>
    </row>
    <row r="10" spans="1:48" s="43" customFormat="1" x14ac:dyDescent="0.3">
      <c r="A10" s="41"/>
      <c r="B10" s="300">
        <v>1</v>
      </c>
      <c r="C10" s="598" t="s">
        <v>66</v>
      </c>
      <c r="D10" s="599"/>
      <c r="E10" s="599"/>
      <c r="F10" s="599"/>
      <c r="G10" s="600"/>
      <c r="I10" s="315" t="s">
        <v>407</v>
      </c>
      <c r="K10" s="44">
        <f>Q10+NPV('1.Input'!$I$10,R10:AT10)</f>
        <v>-244452.34905263167</v>
      </c>
      <c r="P10" s="316">
        <f>'6.Venituri'!O61+'6.Venituri'!O72-'6.Venituri'!O128-'6.Venituri'!O139</f>
        <v>0</v>
      </c>
      <c r="Q10" s="316">
        <f>'6.Venituri'!P61+'6.Venituri'!P72-'6.Venituri'!P128-'6.Venituri'!P139</f>
        <v>0</v>
      </c>
      <c r="R10" s="316">
        <f>'6.Venituri'!Q61+'6.Venituri'!Q72-'6.Venituri'!Q128-'6.Venituri'!Q139</f>
        <v>0</v>
      </c>
      <c r="S10" s="316">
        <f>'6.Venituri'!R61+'6.Venituri'!R72-'6.Venituri'!R128-'6.Venituri'!R139</f>
        <v>-2431.3895999421511</v>
      </c>
      <c r="T10" s="316">
        <f>'6.Venituri'!S61+'6.Venituri'!S72-'6.Venituri'!S128-'6.Venituri'!S139</f>
        <v>-6416.9321590572217</v>
      </c>
      <c r="U10" s="316">
        <f>'6.Venituri'!T61+'6.Venituri'!T72-'6.Venituri'!T128-'6.Venituri'!T139</f>
        <v>-10772.56145429987</v>
      </c>
      <c r="V10" s="316">
        <f>'6.Venituri'!U61+'6.Venituri'!U72-'6.Venituri'!U128-'6.Venituri'!U139</f>
        <v>-10345.344651390311</v>
      </c>
      <c r="W10" s="316">
        <f>'6.Venituri'!V61+'6.Venituri'!V72-'6.Venituri'!V128-'6.Venituri'!V139</f>
        <v>-9928.0068661723999</v>
      </c>
      <c r="X10" s="316">
        <f>'6.Venituri'!W61+'6.Venituri'!W72-'6.Venituri'!W128-'6.Venituri'!W139</f>
        <v>-9517.8360902468194</v>
      </c>
      <c r="Y10" s="316">
        <f>'6.Venituri'!X61+'6.Venituri'!X72-'6.Venituri'!X128-'6.Venituri'!X139</f>
        <v>-9465.5146957857978</v>
      </c>
      <c r="Z10" s="316">
        <f>'6.Venituri'!Y61+'6.Venituri'!Y72-'6.Venituri'!Y128-'6.Venituri'!Y139</f>
        <v>-9417.9152260095543</v>
      </c>
      <c r="AA10" s="316">
        <f>'6.Venituri'!Z61+'6.Venituri'!Z72-'6.Venituri'!Z128-'6.Venituri'!Z139</f>
        <v>-9376.3199544739873</v>
      </c>
      <c r="AB10" s="316">
        <f>'6.Venituri'!AA61+'6.Venituri'!AA72-'6.Venituri'!AA128-'6.Venituri'!AA139</f>
        <v>-9342.0013033868163</v>
      </c>
      <c r="AC10" s="316">
        <f>'6.Venituri'!AB61+'6.Venituri'!AB72-'6.Venituri'!AB128-'6.Venituri'!AB139</f>
        <v>-9314.4551256412524</v>
      </c>
      <c r="AD10" s="316">
        <f>'6.Venituri'!AC61+'6.Venituri'!AC72-'6.Venituri'!AC128-'6.Venituri'!AC139</f>
        <v>-9400.4457482676225</v>
      </c>
      <c r="AE10" s="316">
        <f>'6.Venituri'!AD61+'6.Venituri'!AD72-'6.Venituri'!AD128-'6.Venituri'!AD139</f>
        <v>-9493.7542147966669</v>
      </c>
      <c r="AF10" s="316">
        <f>'6.Venituri'!AE61+'6.Venituri'!AE72-'6.Venituri'!AE128-'6.Venituri'!AE139</f>
        <v>-9594.8578952014504</v>
      </c>
      <c r="AG10" s="316">
        <f>'6.Venituri'!AF61+'6.Venituri'!AF72-'6.Venituri'!AF128-'6.Venituri'!AF139</f>
        <v>-9704.2516007285158</v>
      </c>
      <c r="AH10" s="316">
        <f>'6.Venituri'!AG61+'6.Venituri'!AG72-'6.Venituri'!AG128-'6.Venituri'!AG139</f>
        <v>-9822.4486533769486</v>
      </c>
      <c r="AI10" s="316">
        <f>'6.Venituri'!AH61+'6.Venituri'!AH72-'6.Venituri'!AH128-'6.Venituri'!AH139</f>
        <v>-9949.9820038610815</v>
      </c>
      <c r="AJ10" s="316">
        <f>'6.Venituri'!AI61+'6.Venituri'!AI72-'6.Venituri'!AI128-'6.Venituri'!AI139</f>
        <v>-10087.405400599513</v>
      </c>
      <c r="AK10" s="316">
        <f>'6.Venituri'!AJ61+'6.Venituri'!AJ72-'6.Venituri'!AJ128-'6.Venituri'!AJ139</f>
        <v>-16669.228902000039</v>
      </c>
      <c r="AL10" s="316">
        <f>'6.Venituri'!AK61+'6.Venituri'!AK72-'6.Venituri'!AK128-'6.Venituri'!AK139</f>
        <v>-21156.989183037073</v>
      </c>
      <c r="AM10" s="316">
        <f>'6.Venituri'!AL61+'6.Venituri'!AL72-'6.Venituri'!AL128-'6.Venituri'!AL139</f>
        <v>-25625.135495394134</v>
      </c>
      <c r="AN10" s="316">
        <f>'6.Venituri'!AM61+'6.Venituri'!AM72-'6.Venituri'!AM128-'6.Venituri'!AM139</f>
        <v>-30073.605883363023</v>
      </c>
      <c r="AO10" s="316">
        <f>'6.Venituri'!AN61+'6.Venituri'!AN72-'6.Venituri'!AN128-'6.Venituri'!AN139</f>
        <v>-34503.457683599794</v>
      </c>
      <c r="AP10" s="316">
        <f>'6.Venituri'!AO61+'6.Venituri'!AO72-'6.Venituri'!AO128-'6.Venituri'!AO139</f>
        <v>-38915.773108479952</v>
      </c>
      <c r="AQ10" s="316">
        <f>'6.Venituri'!AP61+'6.Venituri'!AP72-'6.Venituri'!AP128-'6.Venituri'!AP139</f>
        <v>-43311.660876354297</v>
      </c>
      <c r="AR10" s="316">
        <f>'6.Venituri'!AQ61+'6.Venituri'!AQ72-'6.Venituri'!AQ128-'6.Venituri'!AQ139</f>
        <v>-47692.257918604511</v>
      </c>
      <c r="AS10" s="316">
        <f>'6.Venituri'!AR61+'6.Venituri'!AR72-'6.Venituri'!AR128-'6.Venituri'!AR139</f>
        <v>-52058.731167396625</v>
      </c>
      <c r="AT10" s="316">
        <f>'6.Venituri'!AS61+'6.Venituri'!AS72-'6.Venituri'!AS128-'6.Venituri'!AS139</f>
        <v>-56412.279428223716</v>
      </c>
      <c r="AV10" s="41"/>
    </row>
    <row r="11" spans="1:48" s="317" customFormat="1" x14ac:dyDescent="0.3">
      <c r="A11" s="41"/>
      <c r="B11" s="300">
        <f>B10+1</f>
        <v>2</v>
      </c>
      <c r="C11" s="608" t="s">
        <v>67</v>
      </c>
      <c r="D11" s="608"/>
      <c r="E11" s="608"/>
      <c r="F11" s="608"/>
      <c r="G11" s="608"/>
      <c r="I11" s="315" t="s">
        <v>407</v>
      </c>
      <c r="J11" s="318"/>
      <c r="K11" s="44">
        <f>Q11+NPV('1.Input'!$I$10,R11:AT11)</f>
        <v>191849.86186495557</v>
      </c>
      <c r="L11" s="318"/>
      <c r="M11" s="318"/>
      <c r="N11" s="318"/>
      <c r="O11" s="318"/>
      <c r="P11" s="319">
        <f>-('5.O&amp;M'!O73-'5.O&amp;M'!O141)</f>
        <v>0</v>
      </c>
      <c r="Q11" s="319">
        <f>-('5.O&amp;M'!P73-'5.O&amp;M'!P141)</f>
        <v>0</v>
      </c>
      <c r="R11" s="319">
        <f>-('5.O&amp;M'!Q73-'5.O&amp;M'!Q141)</f>
        <v>0</v>
      </c>
      <c r="S11" s="319">
        <f>-('5.O&amp;M'!R73-'5.O&amp;M'!R141)</f>
        <v>1398.232816100819</v>
      </c>
      <c r="T11" s="319">
        <f>-('5.O&amp;M'!S73-'5.O&amp;M'!S141)</f>
        <v>3732.2186988722824</v>
      </c>
      <c r="U11" s="319">
        <f>-('5.O&amp;M'!T73-'5.O&amp;M'!T141)</f>
        <v>6391.0715036509137</v>
      </c>
      <c r="V11" s="319">
        <f>-('5.O&amp;M'!U73-'5.O&amp;M'!U141)</f>
        <v>6308.1107735179103</v>
      </c>
      <c r="W11" s="319">
        <f>-('5.O&amp;M'!V73-'5.O&amp;M'!V141)</f>
        <v>6235.1045252027689</v>
      </c>
      <c r="X11" s="319">
        <f>-('5.O&amp;M'!W73-'5.O&amp;M'!W141)</f>
        <v>6170.3065636698739</v>
      </c>
      <c r="Y11" s="319">
        <f>-('5.O&amp;M'!X73-'5.O&amp;M'!X141)</f>
        <v>6151.9382786464921</v>
      </c>
      <c r="Z11" s="319">
        <f>-('5.O&amp;M'!Y73-'5.O&amp;M'!Y141)</f>
        <v>6141.2010708018861</v>
      </c>
      <c r="AA11" s="319">
        <f>-('5.O&amp;M'!Z73-'5.O&amp;M'!Z141)</f>
        <v>6139.2681178161511</v>
      </c>
      <c r="AB11" s="319">
        <f>-('5.O&amp;M'!AA73-'5.O&amp;M'!AA141)</f>
        <v>6147.3099788156105</v>
      </c>
      <c r="AC11" s="319">
        <f>-('5.O&amp;M'!AB73-'5.O&amp;M'!AB141)</f>
        <v>6164.7279382903798</v>
      </c>
      <c r="AD11" s="319">
        <f>-('5.O&amp;M'!AC73-'5.O&amp;M'!AC141)</f>
        <v>6203.1328709510854</v>
      </c>
      <c r="AE11" s="319">
        <f>-('5.O&amp;M'!AD73-'5.O&amp;M'!AD141)</f>
        <v>6251.5505940739822</v>
      </c>
      <c r="AF11" s="319">
        <f>-('5.O&amp;M'!AE73-'5.O&amp;M'!AE141)</f>
        <v>6310.3426022754356</v>
      </c>
      <c r="AG11" s="319">
        <f>-('5.O&amp;M'!AF73-'5.O&amp;M'!AF141)</f>
        <v>6379.8910231663322</v>
      </c>
      <c r="AH11" s="319">
        <f>-('5.O&amp;M'!AG73-'5.O&amp;M'!AG141)</f>
        <v>6460.5996093319263</v>
      </c>
      <c r="AI11" s="319">
        <f>-('5.O&amp;M'!AH73-'5.O&amp;M'!AH141)</f>
        <v>6552.8947805697389</v>
      </c>
      <c r="AJ11" s="319">
        <f>-('5.O&amp;M'!AI73-'5.O&amp;M'!AI141)</f>
        <v>6657.2267188883852</v>
      </c>
      <c r="AK11" s="319">
        <f>-('5.O&amp;M'!AJ73-'5.O&amp;M'!AJ141)</f>
        <v>13220.24004628227</v>
      </c>
      <c r="AL11" s="319">
        <f>-('5.O&amp;M'!AK73-'5.O&amp;M'!AK141)</f>
        <v>17693.072562303823</v>
      </c>
      <c r="AM11" s="319">
        <f>-('5.O&amp;M'!AL73-'5.O&amp;M'!AL141)</f>
        <v>22150.153095545014</v>
      </c>
      <c r="AN11" s="319">
        <f>-('5.O&amp;M'!AM73-'5.O&amp;M'!AM141)</f>
        <v>26591.399816042307</v>
      </c>
      <c r="AO11" s="319">
        <f>-('5.O&amp;M'!AN73-'5.O&amp;M'!AN141)</f>
        <v>31017.850729670397</v>
      </c>
      <c r="AP11" s="319">
        <f>-('5.O&amp;M'!AO73-'5.O&amp;M'!AO141)</f>
        <v>35430.569256210438</v>
      </c>
      <c r="AQ11" s="319">
        <f>-('5.O&amp;M'!AP73-'5.O&amp;M'!AP141)</f>
        <v>39830.645854392496</v>
      </c>
      <c r="AR11" s="319">
        <f>-('5.O&amp;M'!AQ73-'5.O&amp;M'!AQ141)</f>
        <v>44219.199723811296</v>
      </c>
      <c r="AS11" s="319">
        <f>-('5.O&amp;M'!AR73-'5.O&amp;M'!AR141)</f>
        <v>48597.380587612264</v>
      </c>
      <c r="AT11" s="319">
        <f>-('5.O&amp;M'!AS73-'5.O&amp;M'!AS141)</f>
        <v>52966.370560038005</v>
      </c>
      <c r="AU11" s="43"/>
      <c r="AV11" s="41"/>
    </row>
    <row r="12" spans="1:48" s="43" customFormat="1" x14ac:dyDescent="0.3">
      <c r="A12" s="41"/>
      <c r="B12" s="300">
        <f t="shared" ref="B12:B13" si="0">B11+1</f>
        <v>3</v>
      </c>
      <c r="C12" s="608" t="s">
        <v>68</v>
      </c>
      <c r="D12" s="608"/>
      <c r="E12" s="608"/>
      <c r="F12" s="608"/>
      <c r="G12" s="608"/>
      <c r="I12" s="315" t="s">
        <v>407</v>
      </c>
      <c r="J12" s="302"/>
      <c r="K12" s="44">
        <f>Q12+NPV('1.Input'!$I$10,R12:AT12)</f>
        <v>0</v>
      </c>
      <c r="L12" s="302"/>
      <c r="M12" s="302"/>
      <c r="N12" s="302"/>
      <c r="O12" s="302"/>
      <c r="P12" s="354">
        <v>0</v>
      </c>
      <c r="Q12" s="354">
        <v>0</v>
      </c>
      <c r="R12" s="354">
        <v>0</v>
      </c>
      <c r="S12" s="354">
        <v>0</v>
      </c>
      <c r="T12" s="354">
        <v>0</v>
      </c>
      <c r="U12" s="354">
        <v>0</v>
      </c>
      <c r="V12" s="354">
        <v>0</v>
      </c>
      <c r="W12" s="354">
        <v>0</v>
      </c>
      <c r="X12" s="354">
        <v>0</v>
      </c>
      <c r="Y12" s="354">
        <v>0</v>
      </c>
      <c r="Z12" s="354">
        <v>0</v>
      </c>
      <c r="AA12" s="354">
        <v>0</v>
      </c>
      <c r="AB12" s="354">
        <v>0</v>
      </c>
      <c r="AC12" s="354">
        <v>0</v>
      </c>
      <c r="AD12" s="354">
        <v>0</v>
      </c>
      <c r="AE12" s="354">
        <v>0</v>
      </c>
      <c r="AF12" s="354">
        <v>0</v>
      </c>
      <c r="AG12" s="354">
        <v>0</v>
      </c>
      <c r="AH12" s="354">
        <v>0</v>
      </c>
      <c r="AI12" s="354">
        <v>0</v>
      </c>
      <c r="AJ12" s="354">
        <v>0</v>
      </c>
      <c r="AK12" s="354">
        <v>0</v>
      </c>
      <c r="AL12" s="354">
        <v>0</v>
      </c>
      <c r="AM12" s="354">
        <v>0</v>
      </c>
      <c r="AN12" s="354">
        <v>0</v>
      </c>
      <c r="AO12" s="354">
        <v>0</v>
      </c>
      <c r="AP12" s="354">
        <v>0</v>
      </c>
      <c r="AQ12" s="354">
        <v>0</v>
      </c>
      <c r="AR12" s="354">
        <v>0</v>
      </c>
      <c r="AS12" s="354">
        <v>0</v>
      </c>
      <c r="AT12" s="354">
        <v>0</v>
      </c>
      <c r="AV12" s="41"/>
    </row>
    <row r="13" spans="1:48" s="43" customFormat="1" x14ac:dyDescent="0.3">
      <c r="A13" s="41"/>
      <c r="B13" s="300">
        <f t="shared" si="0"/>
        <v>4</v>
      </c>
      <c r="C13" s="598" t="s">
        <v>422</v>
      </c>
      <c r="D13" s="599"/>
      <c r="E13" s="599"/>
      <c r="F13" s="599"/>
      <c r="G13" s="600"/>
      <c r="I13" s="315" t="s">
        <v>407</v>
      </c>
      <c r="J13" s="302"/>
      <c r="K13" s="44">
        <f>Q13+NPV('1.Input'!$I$10,R13:AT13)</f>
        <v>0</v>
      </c>
      <c r="L13" s="302"/>
      <c r="M13" s="302"/>
      <c r="N13" s="302"/>
      <c r="O13" s="302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19">
        <f>'4.Investitie'!$K$23/'1.Input'!$I$19*('1.Input'!$I$19-'1.Input'!$I$20)/1000</f>
        <v>0</v>
      </c>
      <c r="AV13" s="41"/>
    </row>
    <row r="14" spans="1:48" s="43" customFormat="1" ht="9" customHeight="1" x14ac:dyDescent="0.3">
      <c r="A14" s="41"/>
      <c r="B14" s="300"/>
      <c r="C14" s="356"/>
      <c r="D14" s="356"/>
      <c r="E14" s="356"/>
      <c r="F14" s="356"/>
      <c r="G14" s="356"/>
      <c r="I14" s="357"/>
      <c r="J14" s="302"/>
      <c r="K14" s="302"/>
      <c r="L14" s="302"/>
      <c r="M14" s="302"/>
      <c r="N14" s="302"/>
      <c r="O14" s="302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D14" s="38"/>
      <c r="AV14" s="41"/>
    </row>
    <row r="15" spans="1:48" s="43" customFormat="1" ht="26.25" customHeight="1" x14ac:dyDescent="0.3">
      <c r="A15" s="41"/>
      <c r="B15" s="300">
        <f>B13+1</f>
        <v>5</v>
      </c>
      <c r="C15" s="598" t="s">
        <v>69</v>
      </c>
      <c r="D15" s="599"/>
      <c r="E15" s="599"/>
      <c r="F15" s="599"/>
      <c r="G15" s="600"/>
      <c r="I15" s="315" t="s">
        <v>407</v>
      </c>
      <c r="J15" s="302"/>
      <c r="K15" s="44">
        <f>Q15+NPV('1.Input'!$I$10,R15:AT15)</f>
        <v>-276007.66063187603</v>
      </c>
      <c r="L15" s="302"/>
      <c r="M15" s="302"/>
      <c r="N15" s="302"/>
      <c r="O15" s="302"/>
      <c r="P15" s="319">
        <v>0</v>
      </c>
      <c r="Q15" s="319">
        <f>-('4.Investitie'!N18+'4.Investitie'!T18-'4.Investitie'!N14-'4.Investitie'!T14)/1000</f>
        <v>-659.5</v>
      </c>
      <c r="R15" s="319">
        <f>-('4.Investitie'!O18+'4.Investitie'!U18-'4.Investitie'!O14-'4.Investitie'!U14)/1000</f>
        <v>-79422.768093679013</v>
      </c>
      <c r="S15" s="319">
        <f>-('4.Investitie'!P18+'4.Investitie'!V18-'4.Investitie'!P14-'4.Investitie'!V14)/1000</f>
        <v>-143646.50849117312</v>
      </c>
      <c r="T15" s="319">
        <f>-('4.Investitie'!Q18+'4.Investitie'!W18-'4.Investitie'!Q14-'4.Investitie'!W14)/1000</f>
        <v>-74433.198560071352</v>
      </c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V15" s="41"/>
    </row>
    <row r="16" spans="1:48" s="43" customFormat="1" ht="9" customHeight="1" x14ac:dyDescent="0.3">
      <c r="A16" s="41"/>
      <c r="B16" s="300"/>
      <c r="C16" s="356"/>
      <c r="D16" s="356"/>
      <c r="E16" s="356"/>
      <c r="F16" s="356"/>
      <c r="G16" s="356"/>
      <c r="I16" s="357"/>
      <c r="J16" s="302"/>
      <c r="K16" s="302"/>
      <c r="L16" s="302"/>
      <c r="M16" s="302"/>
      <c r="N16" s="302"/>
      <c r="O16" s="302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D16" s="38"/>
      <c r="AV16" s="41"/>
    </row>
    <row r="17" spans="1:48" s="43" customFormat="1" ht="17.25" customHeight="1" x14ac:dyDescent="0.3">
      <c r="A17" s="41"/>
      <c r="B17" s="300">
        <f>B15+1</f>
        <v>6</v>
      </c>
      <c r="C17" s="598" t="s">
        <v>415</v>
      </c>
      <c r="D17" s="599"/>
      <c r="E17" s="599"/>
      <c r="F17" s="599"/>
      <c r="G17" s="600"/>
      <c r="I17" s="315" t="s">
        <v>417</v>
      </c>
      <c r="J17" s="302"/>
      <c r="K17" s="359">
        <f>K10</f>
        <v>-244452.34905263167</v>
      </c>
      <c r="L17" s="302"/>
      <c r="M17" s="302"/>
      <c r="N17" s="302"/>
      <c r="O17" s="302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D17" s="38"/>
      <c r="AV17" s="41"/>
    </row>
    <row r="18" spans="1:48" s="43" customFormat="1" ht="17.25" customHeight="1" x14ac:dyDescent="0.3">
      <c r="A18" s="41"/>
      <c r="B18" s="300">
        <f>B17+1</f>
        <v>7</v>
      </c>
      <c r="C18" s="598" t="s">
        <v>416</v>
      </c>
      <c r="D18" s="599"/>
      <c r="E18" s="599"/>
      <c r="F18" s="599"/>
      <c r="G18" s="600"/>
      <c r="I18" s="315" t="s">
        <v>417</v>
      </c>
      <c r="J18" s="302"/>
      <c r="K18" s="359">
        <f>-(K11+K12)</f>
        <v>-191849.86186495557</v>
      </c>
      <c r="L18" s="302"/>
      <c r="M18" s="302"/>
      <c r="N18" s="302"/>
      <c r="O18" s="302"/>
      <c r="P18" s="361"/>
      <c r="Q18" s="361"/>
      <c r="R18" s="361"/>
      <c r="S18" s="349"/>
      <c r="T18" s="349"/>
      <c r="U18" s="349"/>
      <c r="V18" s="349"/>
      <c r="W18" s="349"/>
      <c r="X18" s="349"/>
      <c r="Y18" s="349"/>
      <c r="Z18" s="349"/>
      <c r="AA18" s="349"/>
      <c r="AD18" s="38"/>
      <c r="AV18" s="41"/>
    </row>
    <row r="19" spans="1:48" s="43" customFormat="1" x14ac:dyDescent="0.3">
      <c r="A19" s="41"/>
      <c r="B19" s="300">
        <f t="shared" ref="B19:B22" si="1">B18+1</f>
        <v>8</v>
      </c>
      <c r="C19" s="608" t="s">
        <v>420</v>
      </c>
      <c r="D19" s="608"/>
      <c r="E19" s="608"/>
      <c r="F19" s="608"/>
      <c r="G19" s="608"/>
      <c r="I19" s="315" t="s">
        <v>417</v>
      </c>
      <c r="J19" s="302"/>
      <c r="K19" s="359">
        <f>-K15</f>
        <v>276007.66063187603</v>
      </c>
      <c r="L19" s="302"/>
      <c r="M19" s="302"/>
      <c r="N19" s="302"/>
      <c r="O19" s="302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D19" s="38"/>
      <c r="AV19" s="41"/>
    </row>
    <row r="20" spans="1:48" s="43" customFormat="1" x14ac:dyDescent="0.3">
      <c r="A20" s="41"/>
      <c r="B20" s="300">
        <f t="shared" si="1"/>
        <v>9</v>
      </c>
      <c r="C20" s="608" t="s">
        <v>419</v>
      </c>
      <c r="D20" s="608"/>
      <c r="E20" s="608"/>
      <c r="F20" s="608"/>
      <c r="G20" s="608"/>
      <c r="I20" s="315" t="s">
        <v>417</v>
      </c>
      <c r="J20" s="302"/>
      <c r="K20" s="359">
        <f>IF(ROUND((K10+K11),0)&lt;=0,0,SUM(K10:K13))</f>
        <v>0</v>
      </c>
      <c r="L20" s="302"/>
      <c r="M20" s="302"/>
      <c r="N20" s="302"/>
      <c r="O20" s="302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D20" s="38"/>
      <c r="AV20" s="41"/>
    </row>
    <row r="21" spans="1:48" s="43" customFormat="1" x14ac:dyDescent="0.3">
      <c r="A21" s="41"/>
      <c r="B21" s="300">
        <f t="shared" si="1"/>
        <v>10</v>
      </c>
      <c r="C21" s="608" t="s">
        <v>418</v>
      </c>
      <c r="D21" s="608"/>
      <c r="E21" s="608"/>
      <c r="F21" s="608"/>
      <c r="G21" s="608"/>
      <c r="I21" s="315" t="s">
        <v>417</v>
      </c>
      <c r="J21" s="302"/>
      <c r="K21" s="359">
        <f>K19-K20</f>
        <v>276007.66063187603</v>
      </c>
      <c r="L21" s="302"/>
      <c r="M21" s="302"/>
      <c r="N21" s="302"/>
      <c r="O21" s="302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D21" s="38"/>
      <c r="AV21" s="41"/>
    </row>
    <row r="22" spans="1:48" s="317" customFormat="1" ht="15.75" x14ac:dyDescent="0.3">
      <c r="A22" s="337"/>
      <c r="B22" s="338">
        <f t="shared" si="1"/>
        <v>11</v>
      </c>
      <c r="C22" s="692" t="s">
        <v>421</v>
      </c>
      <c r="D22" s="692"/>
      <c r="E22" s="692"/>
      <c r="F22" s="692"/>
      <c r="G22" s="692"/>
      <c r="I22" s="313" t="s">
        <v>15</v>
      </c>
      <c r="J22" s="318"/>
      <c r="K22" s="362">
        <f>ROUND(K21/K19,2)</f>
        <v>1</v>
      </c>
      <c r="L22" s="318"/>
      <c r="M22" s="318"/>
      <c r="N22" s="318"/>
      <c r="O22" s="318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D22" s="320"/>
      <c r="AV22" s="337"/>
    </row>
    <row r="23" spans="1:48" s="43" customFormat="1" ht="15" customHeight="1" x14ac:dyDescent="0.3">
      <c r="A23" s="41"/>
      <c r="B23" s="300"/>
      <c r="C23" s="363"/>
      <c r="D23" s="363"/>
      <c r="E23" s="363"/>
      <c r="F23" s="363"/>
      <c r="G23" s="363"/>
      <c r="I23" s="364"/>
      <c r="J23" s="302"/>
      <c r="K23" s="302"/>
      <c r="L23" s="302"/>
      <c r="M23" s="302"/>
      <c r="N23" s="302"/>
      <c r="O23" s="302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D23" s="38"/>
      <c r="AV23" s="41"/>
    </row>
    <row r="24" spans="1:48" s="317" customFormat="1" ht="17.25" customHeight="1" x14ac:dyDescent="0.3">
      <c r="A24" s="337"/>
      <c r="B24" s="338">
        <f>B22+1</f>
        <v>12</v>
      </c>
      <c r="C24" s="679" t="s">
        <v>79</v>
      </c>
      <c r="D24" s="680"/>
      <c r="E24" s="680"/>
      <c r="F24" s="680"/>
      <c r="G24" s="681"/>
      <c r="I24" s="313" t="s">
        <v>47</v>
      </c>
      <c r="J24" s="318"/>
      <c r="K24" s="365">
        <f>K22*'4.Investitie'!M20</f>
        <v>246322038.30505133</v>
      </c>
      <c r="L24" s="318"/>
      <c r="M24" s="318"/>
      <c r="N24" s="318"/>
      <c r="O24" s="318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D24" s="320"/>
      <c r="AV24" s="337"/>
    </row>
    <row r="25" spans="1:48" s="43" customFormat="1" ht="14.25" customHeight="1" x14ac:dyDescent="0.3">
      <c r="A25" s="41"/>
      <c r="B25" s="300"/>
      <c r="C25" s="306"/>
      <c r="D25" s="306"/>
      <c r="E25" s="306"/>
      <c r="F25" s="306"/>
      <c r="G25" s="306"/>
      <c r="I25" s="302"/>
      <c r="J25" s="302"/>
      <c r="K25" s="302"/>
      <c r="L25" s="302"/>
      <c r="M25" s="302"/>
      <c r="N25" s="302"/>
      <c r="O25" s="302"/>
      <c r="AD25" s="38"/>
      <c r="AV25" s="41"/>
    </row>
    <row r="26" spans="1:48" s="43" customFormat="1" ht="21" customHeight="1" thickBot="1" x14ac:dyDescent="0.35">
      <c r="A26" s="41"/>
      <c r="B26" s="41"/>
      <c r="C26" s="237"/>
      <c r="D26" s="237"/>
      <c r="E26" s="237"/>
      <c r="F26" s="237"/>
      <c r="G26" s="237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ht="17.25" thickBot="1" x14ac:dyDescent="0.35">
      <c r="A27" s="41"/>
      <c r="B27" s="41"/>
      <c r="C27" s="615" t="s">
        <v>442</v>
      </c>
      <c r="D27" s="616"/>
      <c r="E27" s="616"/>
      <c r="F27" s="616"/>
      <c r="G27" s="616"/>
      <c r="H27" s="617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x14ac:dyDescent="0.3">
      <c r="A28" s="41"/>
      <c r="C28" s="42"/>
      <c r="D28" s="42"/>
      <c r="E28" s="42"/>
      <c r="F28" s="42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V28" s="41"/>
    </row>
    <row r="29" spans="1:48" x14ac:dyDescent="0.3">
      <c r="A29" s="41"/>
      <c r="B29" s="300">
        <f>B24+1</f>
        <v>13</v>
      </c>
      <c r="C29" s="598" t="str">
        <f>C10</f>
        <v>Venituri incrementale</v>
      </c>
      <c r="D29" s="599"/>
      <c r="E29" s="599"/>
      <c r="F29" s="599"/>
      <c r="G29" s="600"/>
      <c r="H29" s="43"/>
      <c r="I29" s="315" t="s">
        <v>407</v>
      </c>
      <c r="J29" s="43"/>
      <c r="K29" s="43"/>
      <c r="L29" s="43"/>
      <c r="M29" s="43"/>
      <c r="N29" s="43"/>
      <c r="O29" s="43"/>
      <c r="P29" s="316">
        <f t="shared" ref="P29:AI29" si="2">P10</f>
        <v>0</v>
      </c>
      <c r="Q29" s="316">
        <f t="shared" si="2"/>
        <v>0</v>
      </c>
      <c r="R29" s="316">
        <f t="shared" si="2"/>
        <v>0</v>
      </c>
      <c r="S29" s="316">
        <f t="shared" si="2"/>
        <v>-2431.3895999421511</v>
      </c>
      <c r="T29" s="316">
        <f t="shared" si="2"/>
        <v>-6416.9321590572217</v>
      </c>
      <c r="U29" s="316">
        <f t="shared" si="2"/>
        <v>-10772.56145429987</v>
      </c>
      <c r="V29" s="316">
        <f t="shared" si="2"/>
        <v>-10345.344651390311</v>
      </c>
      <c r="W29" s="316">
        <f t="shared" si="2"/>
        <v>-9928.0068661723999</v>
      </c>
      <c r="X29" s="316">
        <f t="shared" si="2"/>
        <v>-9517.8360902468194</v>
      </c>
      <c r="Y29" s="316">
        <f t="shared" si="2"/>
        <v>-9465.5146957857978</v>
      </c>
      <c r="Z29" s="316">
        <f t="shared" si="2"/>
        <v>-9417.9152260095543</v>
      </c>
      <c r="AA29" s="316">
        <f t="shared" si="2"/>
        <v>-9376.3199544739873</v>
      </c>
      <c r="AB29" s="316">
        <f t="shared" si="2"/>
        <v>-9342.0013033868163</v>
      </c>
      <c r="AC29" s="316">
        <f t="shared" si="2"/>
        <v>-9314.4551256412524</v>
      </c>
      <c r="AD29" s="316">
        <f t="shared" si="2"/>
        <v>-9400.4457482676225</v>
      </c>
      <c r="AE29" s="316">
        <f t="shared" si="2"/>
        <v>-9493.7542147966669</v>
      </c>
      <c r="AF29" s="316">
        <f t="shared" si="2"/>
        <v>-9594.8578952014504</v>
      </c>
      <c r="AG29" s="316">
        <f t="shared" si="2"/>
        <v>-9704.2516007285158</v>
      </c>
      <c r="AH29" s="316">
        <f t="shared" si="2"/>
        <v>-9822.4486533769486</v>
      </c>
      <c r="AI29" s="316">
        <f t="shared" si="2"/>
        <v>-9949.9820038610815</v>
      </c>
      <c r="AJ29" s="316">
        <f t="shared" ref="AJ29:AT29" si="3">AJ10</f>
        <v>-10087.405400599513</v>
      </c>
      <c r="AK29" s="316">
        <f t="shared" si="3"/>
        <v>-16669.228902000039</v>
      </c>
      <c r="AL29" s="316">
        <f t="shared" si="3"/>
        <v>-21156.989183037073</v>
      </c>
      <c r="AM29" s="316">
        <f t="shared" si="3"/>
        <v>-25625.135495394134</v>
      </c>
      <c r="AN29" s="316">
        <f t="shared" si="3"/>
        <v>-30073.605883363023</v>
      </c>
      <c r="AO29" s="316">
        <f t="shared" si="3"/>
        <v>-34503.457683599794</v>
      </c>
      <c r="AP29" s="316">
        <f t="shared" si="3"/>
        <v>-38915.773108479952</v>
      </c>
      <c r="AQ29" s="316">
        <f t="shared" si="3"/>
        <v>-43311.660876354297</v>
      </c>
      <c r="AR29" s="316">
        <f t="shared" si="3"/>
        <v>-47692.257918604511</v>
      </c>
      <c r="AS29" s="316">
        <f t="shared" si="3"/>
        <v>-52058.731167396625</v>
      </c>
      <c r="AT29" s="316">
        <f t="shared" si="3"/>
        <v>-56412.279428223716</v>
      </c>
      <c r="AU29" s="343"/>
      <c r="AV29" s="41"/>
    </row>
    <row r="30" spans="1:48" ht="15" customHeight="1" x14ac:dyDescent="0.3">
      <c r="A30" s="41"/>
      <c r="B30" s="300">
        <f>B29+1</f>
        <v>14</v>
      </c>
      <c r="C30" s="598" t="str">
        <f>C11</f>
        <v>Costuri incrementale</v>
      </c>
      <c r="D30" s="599"/>
      <c r="E30" s="599"/>
      <c r="F30" s="599"/>
      <c r="G30" s="600"/>
      <c r="H30" s="317"/>
      <c r="I30" s="315" t="s">
        <v>407</v>
      </c>
      <c r="J30" s="318"/>
      <c r="K30" s="318"/>
      <c r="L30" s="318"/>
      <c r="M30" s="318"/>
      <c r="N30" s="318"/>
      <c r="O30" s="318"/>
      <c r="P30" s="316">
        <f t="shared" ref="P30:AI30" si="4">P11</f>
        <v>0</v>
      </c>
      <c r="Q30" s="316">
        <f t="shared" si="4"/>
        <v>0</v>
      </c>
      <c r="R30" s="316">
        <f t="shared" si="4"/>
        <v>0</v>
      </c>
      <c r="S30" s="316">
        <f t="shared" si="4"/>
        <v>1398.232816100819</v>
      </c>
      <c r="T30" s="316">
        <f t="shared" si="4"/>
        <v>3732.2186988722824</v>
      </c>
      <c r="U30" s="316">
        <f t="shared" si="4"/>
        <v>6391.0715036509137</v>
      </c>
      <c r="V30" s="316">
        <f t="shared" si="4"/>
        <v>6308.1107735179103</v>
      </c>
      <c r="W30" s="316">
        <f t="shared" si="4"/>
        <v>6235.1045252027689</v>
      </c>
      <c r="X30" s="316">
        <f t="shared" si="4"/>
        <v>6170.3065636698739</v>
      </c>
      <c r="Y30" s="316">
        <f t="shared" si="4"/>
        <v>6151.9382786464921</v>
      </c>
      <c r="Z30" s="316">
        <f t="shared" si="4"/>
        <v>6141.2010708018861</v>
      </c>
      <c r="AA30" s="316">
        <f t="shared" si="4"/>
        <v>6139.2681178161511</v>
      </c>
      <c r="AB30" s="316">
        <f t="shared" si="4"/>
        <v>6147.3099788156105</v>
      </c>
      <c r="AC30" s="316">
        <f t="shared" si="4"/>
        <v>6164.7279382903798</v>
      </c>
      <c r="AD30" s="316">
        <f t="shared" si="4"/>
        <v>6203.1328709510854</v>
      </c>
      <c r="AE30" s="316">
        <f t="shared" si="4"/>
        <v>6251.5505940739822</v>
      </c>
      <c r="AF30" s="316">
        <f t="shared" si="4"/>
        <v>6310.3426022754356</v>
      </c>
      <c r="AG30" s="316">
        <f t="shared" si="4"/>
        <v>6379.8910231663322</v>
      </c>
      <c r="AH30" s="316">
        <f t="shared" si="4"/>
        <v>6460.5996093319263</v>
      </c>
      <c r="AI30" s="316">
        <f t="shared" si="4"/>
        <v>6552.8947805697389</v>
      </c>
      <c r="AJ30" s="316">
        <f t="shared" ref="AJ30:AT30" si="5">AJ11</f>
        <v>6657.2267188883852</v>
      </c>
      <c r="AK30" s="316">
        <f t="shared" si="5"/>
        <v>13220.24004628227</v>
      </c>
      <c r="AL30" s="316">
        <f t="shared" si="5"/>
        <v>17693.072562303823</v>
      </c>
      <c r="AM30" s="316">
        <f t="shared" si="5"/>
        <v>22150.153095545014</v>
      </c>
      <c r="AN30" s="316">
        <f t="shared" si="5"/>
        <v>26591.399816042307</v>
      </c>
      <c r="AO30" s="316">
        <f t="shared" si="5"/>
        <v>31017.850729670397</v>
      </c>
      <c r="AP30" s="316">
        <f t="shared" si="5"/>
        <v>35430.569256210438</v>
      </c>
      <c r="AQ30" s="316">
        <f t="shared" si="5"/>
        <v>39830.645854392496</v>
      </c>
      <c r="AR30" s="316">
        <f t="shared" si="5"/>
        <v>44219.199723811296</v>
      </c>
      <c r="AS30" s="316">
        <f t="shared" si="5"/>
        <v>48597.380587612264</v>
      </c>
      <c r="AT30" s="316">
        <f t="shared" si="5"/>
        <v>52966.370560038005</v>
      </c>
      <c r="AU30" s="343"/>
      <c r="AV30" s="41"/>
    </row>
    <row r="31" spans="1:48" ht="14.25" customHeight="1" x14ac:dyDescent="0.3">
      <c r="A31" s="41"/>
      <c r="B31" s="300">
        <f t="shared" ref="B31:B32" si="6">B30+1</f>
        <v>15</v>
      </c>
      <c r="C31" s="598" t="str">
        <f>C12</f>
        <v>Reinvestitii</v>
      </c>
      <c r="D31" s="599"/>
      <c r="E31" s="599"/>
      <c r="F31" s="599"/>
      <c r="G31" s="600"/>
      <c r="H31" s="43"/>
      <c r="I31" s="315" t="s">
        <v>407</v>
      </c>
      <c r="J31" s="302"/>
      <c r="K31" s="302"/>
      <c r="L31" s="302"/>
      <c r="M31" s="302"/>
      <c r="N31" s="302"/>
      <c r="O31" s="302"/>
      <c r="P31" s="316">
        <f t="shared" ref="P31:AI31" si="7">P12</f>
        <v>0</v>
      </c>
      <c r="Q31" s="316">
        <f t="shared" si="7"/>
        <v>0</v>
      </c>
      <c r="R31" s="316">
        <f t="shared" si="7"/>
        <v>0</v>
      </c>
      <c r="S31" s="316">
        <f t="shared" si="7"/>
        <v>0</v>
      </c>
      <c r="T31" s="316">
        <f t="shared" si="7"/>
        <v>0</v>
      </c>
      <c r="U31" s="316">
        <f t="shared" si="7"/>
        <v>0</v>
      </c>
      <c r="V31" s="316">
        <f t="shared" si="7"/>
        <v>0</v>
      </c>
      <c r="W31" s="316">
        <f t="shared" si="7"/>
        <v>0</v>
      </c>
      <c r="X31" s="316">
        <f t="shared" si="7"/>
        <v>0</v>
      </c>
      <c r="Y31" s="316">
        <f t="shared" si="7"/>
        <v>0</v>
      </c>
      <c r="Z31" s="316">
        <f t="shared" si="7"/>
        <v>0</v>
      </c>
      <c r="AA31" s="316">
        <f t="shared" si="7"/>
        <v>0</v>
      </c>
      <c r="AB31" s="316">
        <f t="shared" si="7"/>
        <v>0</v>
      </c>
      <c r="AC31" s="316">
        <f t="shared" si="7"/>
        <v>0</v>
      </c>
      <c r="AD31" s="316">
        <f t="shared" si="7"/>
        <v>0</v>
      </c>
      <c r="AE31" s="316">
        <f t="shared" si="7"/>
        <v>0</v>
      </c>
      <c r="AF31" s="316">
        <f t="shared" si="7"/>
        <v>0</v>
      </c>
      <c r="AG31" s="316">
        <f t="shared" si="7"/>
        <v>0</v>
      </c>
      <c r="AH31" s="316">
        <f t="shared" si="7"/>
        <v>0</v>
      </c>
      <c r="AI31" s="316">
        <f t="shared" si="7"/>
        <v>0</v>
      </c>
      <c r="AJ31" s="316">
        <f t="shared" ref="AJ31:AT31" si="8">AJ12</f>
        <v>0</v>
      </c>
      <c r="AK31" s="316">
        <f t="shared" si="8"/>
        <v>0</v>
      </c>
      <c r="AL31" s="316">
        <f t="shared" si="8"/>
        <v>0</v>
      </c>
      <c r="AM31" s="316">
        <f t="shared" si="8"/>
        <v>0</v>
      </c>
      <c r="AN31" s="316">
        <f t="shared" si="8"/>
        <v>0</v>
      </c>
      <c r="AO31" s="316">
        <f t="shared" si="8"/>
        <v>0</v>
      </c>
      <c r="AP31" s="316">
        <f t="shared" si="8"/>
        <v>0</v>
      </c>
      <c r="AQ31" s="316">
        <f t="shared" si="8"/>
        <v>0</v>
      </c>
      <c r="AR31" s="316">
        <f t="shared" si="8"/>
        <v>0</v>
      </c>
      <c r="AS31" s="316">
        <f t="shared" si="8"/>
        <v>0</v>
      </c>
      <c r="AT31" s="316">
        <f t="shared" si="8"/>
        <v>0</v>
      </c>
      <c r="AU31" s="343"/>
      <c r="AV31" s="41"/>
    </row>
    <row r="32" spans="1:48" ht="14.25" customHeight="1" x14ac:dyDescent="0.3">
      <c r="A32" s="41"/>
      <c r="B32" s="300">
        <f t="shared" si="6"/>
        <v>16</v>
      </c>
      <c r="C32" s="598" t="str">
        <f>C13</f>
        <v>Valoarea reziduala</v>
      </c>
      <c r="D32" s="599"/>
      <c r="E32" s="599"/>
      <c r="F32" s="599"/>
      <c r="G32" s="600"/>
      <c r="H32" s="43"/>
      <c r="I32" s="315" t="s">
        <v>407</v>
      </c>
      <c r="J32" s="302"/>
      <c r="K32" s="302"/>
      <c r="L32" s="302"/>
      <c r="M32" s="302"/>
      <c r="N32" s="302"/>
      <c r="O32" s="302"/>
      <c r="P32" s="316">
        <f t="shared" ref="P32:AI32" si="9">P13</f>
        <v>0</v>
      </c>
      <c r="Q32" s="316">
        <f t="shared" si="9"/>
        <v>0</v>
      </c>
      <c r="R32" s="316">
        <f t="shared" si="9"/>
        <v>0</v>
      </c>
      <c r="S32" s="316">
        <f t="shared" si="9"/>
        <v>0</v>
      </c>
      <c r="T32" s="316">
        <f t="shared" si="9"/>
        <v>0</v>
      </c>
      <c r="U32" s="316">
        <f t="shared" si="9"/>
        <v>0</v>
      </c>
      <c r="V32" s="316">
        <f t="shared" si="9"/>
        <v>0</v>
      </c>
      <c r="W32" s="316">
        <f t="shared" si="9"/>
        <v>0</v>
      </c>
      <c r="X32" s="316">
        <f t="shared" si="9"/>
        <v>0</v>
      </c>
      <c r="Y32" s="316">
        <f t="shared" si="9"/>
        <v>0</v>
      </c>
      <c r="Z32" s="316">
        <f t="shared" si="9"/>
        <v>0</v>
      </c>
      <c r="AA32" s="316">
        <f t="shared" si="9"/>
        <v>0</v>
      </c>
      <c r="AB32" s="316">
        <f t="shared" si="9"/>
        <v>0</v>
      </c>
      <c r="AC32" s="316">
        <f t="shared" si="9"/>
        <v>0</v>
      </c>
      <c r="AD32" s="316">
        <f t="shared" si="9"/>
        <v>0</v>
      </c>
      <c r="AE32" s="316">
        <f t="shared" si="9"/>
        <v>0</v>
      </c>
      <c r="AF32" s="316">
        <f t="shared" si="9"/>
        <v>0</v>
      </c>
      <c r="AG32" s="316">
        <f t="shared" si="9"/>
        <v>0</v>
      </c>
      <c r="AH32" s="316">
        <f t="shared" si="9"/>
        <v>0</v>
      </c>
      <c r="AI32" s="316">
        <f t="shared" si="9"/>
        <v>0</v>
      </c>
      <c r="AJ32" s="316">
        <f>AT13</f>
        <v>0</v>
      </c>
      <c r="AK32" s="316">
        <f t="shared" ref="AK32:AT32" si="10">AV13</f>
        <v>0</v>
      </c>
      <c r="AL32" s="316">
        <f t="shared" si="10"/>
        <v>0</v>
      </c>
      <c r="AM32" s="316">
        <f t="shared" si="10"/>
        <v>0</v>
      </c>
      <c r="AN32" s="316">
        <f t="shared" si="10"/>
        <v>0</v>
      </c>
      <c r="AO32" s="316">
        <f t="shared" si="10"/>
        <v>0</v>
      </c>
      <c r="AP32" s="316">
        <f t="shared" si="10"/>
        <v>0</v>
      </c>
      <c r="AQ32" s="316">
        <f t="shared" si="10"/>
        <v>0</v>
      </c>
      <c r="AR32" s="316">
        <f t="shared" si="10"/>
        <v>0</v>
      </c>
      <c r="AS32" s="316">
        <f t="shared" si="10"/>
        <v>0</v>
      </c>
      <c r="AT32" s="316">
        <f t="shared" si="10"/>
        <v>0</v>
      </c>
      <c r="AU32" s="343"/>
      <c r="AV32" s="41"/>
    </row>
    <row r="33" spans="1:48" ht="14.25" customHeight="1" x14ac:dyDescent="0.3">
      <c r="A33" s="41"/>
      <c r="B33" s="300">
        <f>B31+1</f>
        <v>16</v>
      </c>
      <c r="C33" s="708" t="s">
        <v>46</v>
      </c>
      <c r="D33" s="709"/>
      <c r="E33" s="709"/>
      <c r="F33" s="709"/>
      <c r="G33" s="710"/>
      <c r="H33" s="43"/>
      <c r="I33" s="315" t="s">
        <v>407</v>
      </c>
      <c r="J33" s="302"/>
      <c r="K33" s="302"/>
      <c r="L33" s="302"/>
      <c r="M33" s="302"/>
      <c r="N33" s="302"/>
      <c r="O33" s="302"/>
      <c r="P33" s="321">
        <f>SUM(P29:P32)</f>
        <v>0</v>
      </c>
      <c r="Q33" s="321">
        <f t="shared" ref="Q33:AI33" si="11">SUM(Q29:Q32)</f>
        <v>0</v>
      </c>
      <c r="R33" s="321">
        <f t="shared" si="11"/>
        <v>0</v>
      </c>
      <c r="S33" s="321">
        <f t="shared" si="11"/>
        <v>-1033.1567838413321</v>
      </c>
      <c r="T33" s="321">
        <f t="shared" si="11"/>
        <v>-2684.7134601849393</v>
      </c>
      <c r="U33" s="321">
        <f t="shared" si="11"/>
        <v>-4381.4899506489564</v>
      </c>
      <c r="V33" s="321">
        <f t="shared" si="11"/>
        <v>-4037.2338778724006</v>
      </c>
      <c r="W33" s="321">
        <f t="shared" si="11"/>
        <v>-3692.902340969631</v>
      </c>
      <c r="X33" s="321">
        <f t="shared" si="11"/>
        <v>-3347.5295265769455</v>
      </c>
      <c r="Y33" s="321">
        <f t="shared" si="11"/>
        <v>-3313.5764171393057</v>
      </c>
      <c r="Z33" s="321">
        <f t="shared" si="11"/>
        <v>-3276.7141552076682</v>
      </c>
      <c r="AA33" s="321">
        <f t="shared" si="11"/>
        <v>-3237.0518366578362</v>
      </c>
      <c r="AB33" s="321">
        <f t="shared" si="11"/>
        <v>-3194.6913245712058</v>
      </c>
      <c r="AC33" s="321">
        <f t="shared" si="11"/>
        <v>-3149.7271873508726</v>
      </c>
      <c r="AD33" s="321">
        <f t="shared" si="11"/>
        <v>-3197.3128773165372</v>
      </c>
      <c r="AE33" s="321">
        <f t="shared" si="11"/>
        <v>-3242.2036207226847</v>
      </c>
      <c r="AF33" s="321">
        <f t="shared" si="11"/>
        <v>-3284.5152929260148</v>
      </c>
      <c r="AG33" s="321">
        <f t="shared" si="11"/>
        <v>-3324.3605775621836</v>
      </c>
      <c r="AH33" s="321">
        <f t="shared" si="11"/>
        <v>-3361.8490440450223</v>
      </c>
      <c r="AI33" s="321">
        <f t="shared" si="11"/>
        <v>-3397.0872232913425</v>
      </c>
      <c r="AJ33" s="321">
        <f t="shared" ref="AJ33:AT33" si="12">SUM(AJ29:AJ32)</f>
        <v>-3430.1786817111279</v>
      </c>
      <c r="AK33" s="321">
        <f t="shared" si="12"/>
        <v>-3448.9888557177692</v>
      </c>
      <c r="AL33" s="321">
        <f t="shared" si="12"/>
        <v>-3463.9166207332491</v>
      </c>
      <c r="AM33" s="321">
        <f t="shared" si="12"/>
        <v>-3474.9823998491192</v>
      </c>
      <c r="AN33" s="321">
        <f t="shared" si="12"/>
        <v>-3482.2060673207161</v>
      </c>
      <c r="AO33" s="321">
        <f t="shared" si="12"/>
        <v>-3485.6069539293967</v>
      </c>
      <c r="AP33" s="321">
        <f t="shared" si="12"/>
        <v>-3485.2038522695148</v>
      </c>
      <c r="AQ33" s="321">
        <f t="shared" si="12"/>
        <v>-3481.0150219618008</v>
      </c>
      <c r="AR33" s="321">
        <f t="shared" si="12"/>
        <v>-3473.0581947932151</v>
      </c>
      <c r="AS33" s="321">
        <f t="shared" si="12"/>
        <v>-3461.3505797843609</v>
      </c>
      <c r="AT33" s="321">
        <f t="shared" si="12"/>
        <v>-3445.9088681857102</v>
      </c>
      <c r="AU33" s="331"/>
      <c r="AV33" s="41"/>
    </row>
    <row r="34" spans="1:48" ht="8.25" customHeight="1" x14ac:dyDescent="0.3">
      <c r="A34" s="41"/>
      <c r="B34" s="300"/>
      <c r="C34" s="356"/>
      <c r="D34" s="356"/>
      <c r="E34" s="356"/>
      <c r="F34" s="356"/>
      <c r="G34" s="356"/>
      <c r="H34" s="43"/>
      <c r="I34" s="357"/>
      <c r="J34" s="302"/>
      <c r="K34" s="302"/>
      <c r="L34" s="302"/>
      <c r="M34" s="302"/>
      <c r="N34" s="302"/>
      <c r="O34" s="302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49"/>
      <c r="AV34" s="41"/>
    </row>
    <row r="35" spans="1:48" ht="14.25" customHeight="1" x14ac:dyDescent="0.3">
      <c r="A35" s="41"/>
      <c r="B35" s="300">
        <f>B33+1</f>
        <v>17</v>
      </c>
      <c r="C35" s="598" t="s">
        <v>69</v>
      </c>
      <c r="D35" s="599"/>
      <c r="E35" s="599"/>
      <c r="F35" s="599"/>
      <c r="G35" s="600"/>
      <c r="H35" s="43"/>
      <c r="I35" s="315" t="s">
        <v>407</v>
      </c>
      <c r="J35" s="302"/>
      <c r="K35" s="302"/>
      <c r="L35" s="302"/>
      <c r="M35" s="302"/>
      <c r="N35" s="302"/>
      <c r="O35" s="302"/>
      <c r="P35" s="319">
        <f t="shared" ref="P35:AI35" si="13">P15</f>
        <v>0</v>
      </c>
      <c r="Q35" s="319">
        <f t="shared" si="13"/>
        <v>-659.5</v>
      </c>
      <c r="R35" s="319">
        <f t="shared" si="13"/>
        <v>-79422.768093679013</v>
      </c>
      <c r="S35" s="319">
        <f t="shared" si="13"/>
        <v>-143646.50849117312</v>
      </c>
      <c r="T35" s="319">
        <f t="shared" si="13"/>
        <v>-74433.198560071352</v>
      </c>
      <c r="U35" s="319">
        <f t="shared" si="13"/>
        <v>0</v>
      </c>
      <c r="V35" s="319">
        <f t="shared" si="13"/>
        <v>0</v>
      </c>
      <c r="W35" s="319">
        <f t="shared" si="13"/>
        <v>0</v>
      </c>
      <c r="X35" s="319">
        <f t="shared" si="13"/>
        <v>0</v>
      </c>
      <c r="Y35" s="319">
        <f t="shared" si="13"/>
        <v>0</v>
      </c>
      <c r="Z35" s="319">
        <f t="shared" si="13"/>
        <v>0</v>
      </c>
      <c r="AA35" s="319">
        <f t="shared" si="13"/>
        <v>0</v>
      </c>
      <c r="AB35" s="319">
        <f t="shared" si="13"/>
        <v>0</v>
      </c>
      <c r="AC35" s="319">
        <f t="shared" si="13"/>
        <v>0</v>
      </c>
      <c r="AD35" s="319">
        <f t="shared" si="13"/>
        <v>0</v>
      </c>
      <c r="AE35" s="319">
        <f t="shared" si="13"/>
        <v>0</v>
      </c>
      <c r="AF35" s="319">
        <f t="shared" si="13"/>
        <v>0</v>
      </c>
      <c r="AG35" s="319">
        <f t="shared" si="13"/>
        <v>0</v>
      </c>
      <c r="AH35" s="319">
        <f t="shared" si="13"/>
        <v>0</v>
      </c>
      <c r="AI35" s="319">
        <f t="shared" si="13"/>
        <v>0</v>
      </c>
      <c r="AJ35" s="319">
        <f t="shared" ref="AJ35:AT35" si="14">AJ15</f>
        <v>0</v>
      </c>
      <c r="AK35" s="319">
        <f t="shared" si="14"/>
        <v>0</v>
      </c>
      <c r="AL35" s="319">
        <f t="shared" si="14"/>
        <v>0</v>
      </c>
      <c r="AM35" s="319">
        <f t="shared" si="14"/>
        <v>0</v>
      </c>
      <c r="AN35" s="319">
        <f t="shared" si="14"/>
        <v>0</v>
      </c>
      <c r="AO35" s="319">
        <f t="shared" si="14"/>
        <v>0</v>
      </c>
      <c r="AP35" s="319">
        <f t="shared" si="14"/>
        <v>0</v>
      </c>
      <c r="AQ35" s="319">
        <f t="shared" si="14"/>
        <v>0</v>
      </c>
      <c r="AR35" s="319">
        <f t="shared" si="14"/>
        <v>0</v>
      </c>
      <c r="AS35" s="319">
        <f t="shared" si="14"/>
        <v>0</v>
      </c>
      <c r="AT35" s="319">
        <f t="shared" si="14"/>
        <v>0</v>
      </c>
      <c r="AU35" s="349"/>
      <c r="AV35" s="41"/>
    </row>
    <row r="36" spans="1:48" ht="10.5" customHeight="1" x14ac:dyDescent="0.3">
      <c r="A36" s="41"/>
      <c r="B36" s="300"/>
      <c r="C36" s="599"/>
      <c r="D36" s="599"/>
      <c r="E36" s="599"/>
      <c r="F36" s="599"/>
      <c r="G36" s="599"/>
      <c r="H36" s="43"/>
      <c r="I36" s="357"/>
      <c r="J36" s="302"/>
      <c r="K36" s="302"/>
      <c r="L36" s="302"/>
      <c r="M36" s="302"/>
      <c r="N36" s="302"/>
      <c r="O36" s="302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49"/>
      <c r="AV36" s="41"/>
    </row>
    <row r="37" spans="1:48" s="320" customFormat="1" x14ac:dyDescent="0.3">
      <c r="A37" s="41"/>
      <c r="B37" s="338">
        <f>B35+1</f>
        <v>18</v>
      </c>
      <c r="C37" s="682" t="s">
        <v>70</v>
      </c>
      <c r="D37" s="682"/>
      <c r="E37" s="682"/>
      <c r="F37" s="682"/>
      <c r="G37" s="682"/>
      <c r="H37" s="317"/>
      <c r="I37" s="313" t="s">
        <v>407</v>
      </c>
      <c r="J37" s="318"/>
      <c r="K37" s="318"/>
      <c r="L37" s="318"/>
      <c r="M37" s="318"/>
      <c r="N37" s="318"/>
      <c r="O37" s="318"/>
      <c r="P37" s="321">
        <f>P33+P35</f>
        <v>0</v>
      </c>
      <c r="Q37" s="321">
        <f t="shared" ref="Q37:AA37" si="15">Q33+Q35</f>
        <v>-659.5</v>
      </c>
      <c r="R37" s="321">
        <f t="shared" si="15"/>
        <v>-79422.768093679013</v>
      </c>
      <c r="S37" s="321">
        <f t="shared" si="15"/>
        <v>-144679.66527501447</v>
      </c>
      <c r="T37" s="321">
        <f t="shared" si="15"/>
        <v>-77117.912020256292</v>
      </c>
      <c r="U37" s="321">
        <f t="shared" si="15"/>
        <v>-4381.4899506489564</v>
      </c>
      <c r="V37" s="321">
        <f t="shared" si="15"/>
        <v>-4037.2338778724006</v>
      </c>
      <c r="W37" s="321">
        <f t="shared" si="15"/>
        <v>-3692.902340969631</v>
      </c>
      <c r="X37" s="321">
        <f t="shared" si="15"/>
        <v>-3347.5295265769455</v>
      </c>
      <c r="Y37" s="321">
        <f t="shared" si="15"/>
        <v>-3313.5764171393057</v>
      </c>
      <c r="Z37" s="321">
        <f t="shared" si="15"/>
        <v>-3276.7141552076682</v>
      </c>
      <c r="AA37" s="321">
        <f t="shared" si="15"/>
        <v>-3237.0518366578362</v>
      </c>
      <c r="AB37" s="321">
        <f t="shared" ref="AB37:AI37" si="16">AB33+AB35</f>
        <v>-3194.6913245712058</v>
      </c>
      <c r="AC37" s="321">
        <f t="shared" si="16"/>
        <v>-3149.7271873508726</v>
      </c>
      <c r="AD37" s="321">
        <f t="shared" si="16"/>
        <v>-3197.3128773165372</v>
      </c>
      <c r="AE37" s="321">
        <f t="shared" si="16"/>
        <v>-3242.2036207226847</v>
      </c>
      <c r="AF37" s="321">
        <f t="shared" si="16"/>
        <v>-3284.5152929260148</v>
      </c>
      <c r="AG37" s="321">
        <f t="shared" si="16"/>
        <v>-3324.3605775621836</v>
      </c>
      <c r="AH37" s="321">
        <f t="shared" si="16"/>
        <v>-3361.8490440450223</v>
      </c>
      <c r="AI37" s="321">
        <f t="shared" si="16"/>
        <v>-3397.0872232913425</v>
      </c>
      <c r="AJ37" s="321">
        <f t="shared" ref="AJ37:AT37" si="17">AJ33+AJ35</f>
        <v>-3430.1786817111279</v>
      </c>
      <c r="AK37" s="321">
        <f t="shared" si="17"/>
        <v>-3448.9888557177692</v>
      </c>
      <c r="AL37" s="321">
        <f t="shared" si="17"/>
        <v>-3463.9166207332491</v>
      </c>
      <c r="AM37" s="321">
        <f t="shared" si="17"/>
        <v>-3474.9823998491192</v>
      </c>
      <c r="AN37" s="321">
        <f t="shared" si="17"/>
        <v>-3482.2060673207161</v>
      </c>
      <c r="AO37" s="321">
        <f t="shared" si="17"/>
        <v>-3485.6069539293967</v>
      </c>
      <c r="AP37" s="321">
        <f t="shared" si="17"/>
        <v>-3485.2038522695148</v>
      </c>
      <c r="AQ37" s="321">
        <f t="shared" si="17"/>
        <v>-3481.0150219618008</v>
      </c>
      <c r="AR37" s="321">
        <f t="shared" si="17"/>
        <v>-3473.0581947932151</v>
      </c>
      <c r="AS37" s="321">
        <f t="shared" si="17"/>
        <v>-3461.3505797843609</v>
      </c>
      <c r="AT37" s="321">
        <f t="shared" si="17"/>
        <v>-3445.9088681857102</v>
      </c>
      <c r="AU37" s="331"/>
      <c r="AV37" s="41"/>
    </row>
    <row r="38" spans="1:48" x14ac:dyDescent="0.3">
      <c r="A38" s="41"/>
      <c r="B38" s="300"/>
      <c r="C38" s="599"/>
      <c r="D38" s="599"/>
      <c r="E38" s="599"/>
      <c r="F38" s="599"/>
      <c r="G38" s="599"/>
      <c r="H38" s="43"/>
      <c r="I38" s="357"/>
      <c r="J38" s="302"/>
      <c r="K38" s="302"/>
      <c r="L38" s="302"/>
      <c r="M38" s="302"/>
      <c r="N38" s="302"/>
      <c r="O38" s="302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V38" s="41"/>
    </row>
    <row r="39" spans="1:48" x14ac:dyDescent="0.3">
      <c r="A39" s="41"/>
      <c r="B39" s="300">
        <f>B37+1</f>
        <v>19</v>
      </c>
      <c r="C39" s="682" t="s">
        <v>71</v>
      </c>
      <c r="D39" s="682"/>
      <c r="E39" s="682"/>
      <c r="F39" s="682"/>
      <c r="G39" s="682"/>
      <c r="H39" s="43"/>
      <c r="I39" s="313" t="s">
        <v>15</v>
      </c>
      <c r="J39" s="302"/>
      <c r="K39" s="366" t="e">
        <f>IRR(Q37:AT37,-50%)</f>
        <v>#NUM!</v>
      </c>
      <c r="L39" s="302"/>
      <c r="M39" s="302"/>
      <c r="N39" s="302"/>
      <c r="O39" s="302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V39" s="41"/>
    </row>
    <row r="40" spans="1:48" x14ac:dyDescent="0.3">
      <c r="A40" s="41"/>
      <c r="B40" s="300">
        <f t="shared" ref="B40" si="18">B39+1</f>
        <v>20</v>
      </c>
      <c r="C40" s="682" t="s">
        <v>72</v>
      </c>
      <c r="D40" s="682"/>
      <c r="E40" s="682"/>
      <c r="F40" s="682"/>
      <c r="G40" s="682"/>
      <c r="H40" s="43"/>
      <c r="I40" s="313" t="s">
        <v>417</v>
      </c>
      <c r="J40" s="302"/>
      <c r="K40" s="44">
        <f>Q37+NPV('1.Input'!$I$10,R37:AT37)</f>
        <v>-328610.1478195524</v>
      </c>
      <c r="L40" s="302"/>
      <c r="M40" s="302"/>
      <c r="N40" s="302"/>
      <c r="O40" s="302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V40" s="41"/>
    </row>
    <row r="41" spans="1:48" x14ac:dyDescent="0.3">
      <c r="A41" s="41"/>
      <c r="B41" s="300"/>
      <c r="C41" s="306"/>
      <c r="D41" s="306"/>
      <c r="E41" s="306"/>
      <c r="F41" s="306"/>
      <c r="G41" s="306"/>
      <c r="H41" s="43"/>
      <c r="I41" s="348"/>
      <c r="J41" s="302"/>
      <c r="K41" s="302"/>
      <c r="L41" s="302"/>
      <c r="M41" s="302"/>
      <c r="N41" s="302"/>
      <c r="O41" s="302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V41" s="41"/>
    </row>
    <row r="42" spans="1:48" ht="17.25" thickBot="1" x14ac:dyDescent="0.35">
      <c r="A42" s="41"/>
      <c r="B42" s="41"/>
      <c r="C42" s="237"/>
      <c r="D42" s="237"/>
      <c r="E42" s="237"/>
      <c r="F42" s="237"/>
      <c r="G42" s="237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</row>
    <row r="43" spans="1:48" ht="17.25" thickBot="1" x14ac:dyDescent="0.35">
      <c r="A43" s="41"/>
      <c r="B43" s="41"/>
      <c r="C43" s="615" t="s">
        <v>114</v>
      </c>
      <c r="D43" s="616"/>
      <c r="E43" s="616"/>
      <c r="F43" s="616"/>
      <c r="G43" s="616"/>
      <c r="H43" s="617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</row>
    <row r="44" spans="1:48" x14ac:dyDescent="0.3">
      <c r="A44" s="41"/>
      <c r="C44" s="42"/>
      <c r="D44" s="42"/>
      <c r="E44" s="42"/>
      <c r="F44" s="42"/>
      <c r="G44" s="4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V44" s="41"/>
    </row>
    <row r="45" spans="1:48" x14ac:dyDescent="0.3">
      <c r="A45" s="41"/>
      <c r="B45" s="300">
        <f>B40+1</f>
        <v>21</v>
      </c>
      <c r="C45" s="598" t="s">
        <v>423</v>
      </c>
      <c r="D45" s="599"/>
      <c r="E45" s="599"/>
      <c r="F45" s="599"/>
      <c r="G45" s="600"/>
      <c r="H45" s="43"/>
      <c r="I45" s="315" t="s">
        <v>407</v>
      </c>
      <c r="J45" s="43"/>
      <c r="K45" s="43"/>
      <c r="L45" s="43"/>
      <c r="M45" s="43"/>
      <c r="N45" s="43"/>
      <c r="O45" s="43"/>
      <c r="P45" s="316">
        <f>'6.Venituri'!O53</f>
        <v>14289.492575759985</v>
      </c>
      <c r="Q45" s="316">
        <f>'6.Venituri'!P53</f>
        <v>14465.983428490996</v>
      </c>
      <c r="R45" s="316">
        <f>'6.Venituri'!Q53</f>
        <v>14758.398165027354</v>
      </c>
      <c r="S45" s="316">
        <f>'6.Venituri'!R53</f>
        <v>15186.242454103513</v>
      </c>
      <c r="T45" s="316">
        <f>'6.Venituri'!S53</f>
        <v>15915.255127473649</v>
      </c>
      <c r="U45" s="316">
        <f>'6.Venituri'!T53</f>
        <v>16587.186265521581</v>
      </c>
      <c r="V45" s="316">
        <f>'6.Venituri'!U53</f>
        <v>17372.491743773542</v>
      </c>
      <c r="W45" s="316">
        <f>'6.Venituri'!V53</f>
        <v>18196.000076421064</v>
      </c>
      <c r="X45" s="316">
        <f>'6.Venituri'!W53</f>
        <v>19059.618123063057</v>
      </c>
      <c r="Y45" s="316">
        <f>'6.Venituri'!X53</f>
        <v>19965.350150423415</v>
      </c>
      <c r="Z45" s="316">
        <f>'6.Venituri'!Y53</f>
        <v>20915.302908107813</v>
      </c>
      <c r="AA45" s="316">
        <f>'6.Venituri'!Z53</f>
        <v>21911.690973233712</v>
      </c>
      <c r="AB45" s="316">
        <f>'6.Venituri'!AA53</f>
        <v>22956.84237836433</v>
      </c>
      <c r="AC45" s="316">
        <f>'6.Venituri'!AB53</f>
        <v>24053.204537960359</v>
      </c>
      <c r="AD45" s="316">
        <f>'6.Venituri'!AC53</f>
        <v>25203.350489388165</v>
      </c>
      <c r="AE45" s="316">
        <f>'6.Venituri'!AD53</f>
        <v>26409.985465393751</v>
      </c>
      <c r="AF45" s="316">
        <f>'6.Venituri'!AE53</f>
        <v>27675.953815869718</v>
      </c>
      <c r="AG45" s="316">
        <f>'6.Venituri'!AF53</f>
        <v>29004.246297710553</v>
      </c>
      <c r="AH45" s="316">
        <f>'6.Venituri'!AG53</f>
        <v>30398.007752572907</v>
      </c>
      <c r="AI45" s="316">
        <f>'6.Venituri'!AH53</f>
        <v>31860.545193434449</v>
      </c>
      <c r="AJ45" s="316">
        <f>'6.Venituri'!AI53</f>
        <v>33395.336321981034</v>
      </c>
      <c r="AK45" s="316">
        <f>'6.Venituri'!AJ53</f>
        <v>35006.038500049821</v>
      </c>
      <c r="AL45" s="316">
        <f>'6.Venituri'!AK53</f>
        <v>36696.498199620473</v>
      </c>
      <c r="AM45" s="316">
        <f>'6.Venituri'!AL53</f>
        <v>38470.760957178871</v>
      </c>
      <c r="AN45" s="316">
        <f>'6.Venituri'!AM53</f>
        <v>40333.081859684695</v>
      </c>
      <c r="AO45" s="316">
        <f>'6.Venituri'!AN53</f>
        <v>42287.93659085688</v>
      </c>
      <c r="AP45" s="316">
        <f>'6.Venituri'!AO53</f>
        <v>43707.364215903362</v>
      </c>
      <c r="AQ45" s="316">
        <f>'6.Venituri'!AP53</f>
        <v>44225.356115572431</v>
      </c>
      <c r="AR45" s="316">
        <f>'6.Venituri'!AQ53</f>
        <v>44759.134959442257</v>
      </c>
      <c r="AS45" s="316">
        <f>'6.Venituri'!AR53</f>
        <v>45309.150665246954</v>
      </c>
      <c r="AT45" s="316">
        <f>'6.Venituri'!AS53</f>
        <v>45875.86705062972</v>
      </c>
      <c r="AU45" s="343"/>
      <c r="AV45" s="41"/>
    </row>
    <row r="46" spans="1:48" ht="26.25" customHeight="1" x14ac:dyDescent="0.3">
      <c r="A46" s="41"/>
      <c r="B46" s="300">
        <f>B45+1</f>
        <v>22</v>
      </c>
      <c r="C46" s="598" t="s">
        <v>431</v>
      </c>
      <c r="D46" s="599"/>
      <c r="E46" s="599"/>
      <c r="F46" s="599"/>
      <c r="G46" s="600"/>
      <c r="H46" s="43"/>
      <c r="I46" s="315" t="s">
        <v>407</v>
      </c>
      <c r="J46" s="302"/>
      <c r="K46" s="302"/>
      <c r="L46" s="302"/>
      <c r="M46" s="302"/>
      <c r="N46" s="302"/>
      <c r="O46" s="302"/>
      <c r="P46" s="316">
        <f>'6.Venituri'!O59</f>
        <v>15565.533876792879</v>
      </c>
      <c r="Q46" s="316">
        <f>'6.Venituri'!P59</f>
        <v>16886.530389820811</v>
      </c>
      <c r="R46" s="316">
        <f>'6.Venituri'!Q59</f>
        <v>15797.802109581793</v>
      </c>
      <c r="S46" s="316">
        <f>'6.Venituri'!R59</f>
        <v>15506.572964447048</v>
      </c>
      <c r="T46" s="316">
        <f>'6.Venituri'!S59</f>
        <v>14774.206171194855</v>
      </c>
      <c r="U46" s="316">
        <f>'6.Venituri'!T59</f>
        <v>13996.798726205392</v>
      </c>
      <c r="V46" s="316">
        <f>'6.Venituri'!U59</f>
        <v>13779.701664070835</v>
      </c>
      <c r="W46" s="316">
        <f>'6.Venituri'!V59</f>
        <v>13566.651086969398</v>
      </c>
      <c r="X46" s="316">
        <f>'6.Venituri'!W59</f>
        <v>13357.523829587799</v>
      </c>
      <c r="Y46" s="316">
        <f>'6.Venituri'!X59</f>
        <v>13295.83361467547</v>
      </c>
      <c r="Z46" s="316">
        <f>'6.Venituri'!Y59</f>
        <v>13441.714931555294</v>
      </c>
      <c r="AA46" s="316">
        <f>'6.Venituri'!Z59</f>
        <v>13591.70915240256</v>
      </c>
      <c r="AB46" s="316">
        <f>'6.Venituri'!AA59</f>
        <v>13745.967691003387</v>
      </c>
      <c r="AC46" s="316">
        <f>'6.Venituri'!AB59</f>
        <v>13904.646847822993</v>
      </c>
      <c r="AD46" s="316">
        <f>'6.Venituri'!AC59</f>
        <v>14111.932042124959</v>
      </c>
      <c r="AE46" s="316">
        <f>'6.Venituri'!AD59</f>
        <v>14325.108061831841</v>
      </c>
      <c r="AF46" s="316">
        <f>'6.Venituri'!AE59</f>
        <v>14544.370496090387</v>
      </c>
      <c r="AG46" s="316">
        <f>'6.Venituri'!AF59</f>
        <v>14769.921524888523</v>
      </c>
      <c r="AH46" s="316">
        <f>'6.Venituri'!AG59</f>
        <v>15001.970133402292</v>
      </c>
      <c r="AI46" s="316">
        <f>'6.Venituri'!AH59</f>
        <v>15240.732333087626</v>
      </c>
      <c r="AJ46" s="316">
        <f>'6.Venituri'!AI59</f>
        <v>15486.43138972972</v>
      </c>
      <c r="AK46" s="316">
        <f>'6.Venituri'!AJ59</f>
        <v>15124.037868415491</v>
      </c>
      <c r="AL46" s="316">
        <f>'6.Venituri'!AK59</f>
        <v>15320.647369143537</v>
      </c>
      <c r="AM46" s="316">
        <f>'6.Venituri'!AL59</f>
        <v>15522.220085140902</v>
      </c>
      <c r="AN46" s="316">
        <f>'6.Venituri'!AM59</f>
        <v>15728.899790472788</v>
      </c>
      <c r="AO46" s="316">
        <f>'6.Venituri'!AN59</f>
        <v>15940.834269108587</v>
      </c>
      <c r="AP46" s="316">
        <f>'6.Venituri'!AO59</f>
        <v>16158.175420772059</v>
      </c>
      <c r="AQ46" s="316">
        <f>'6.Venituri'!AP59</f>
        <v>16381.079369514146</v>
      </c>
      <c r="AR46" s="316">
        <f>'6.Venituri'!AQ59</f>
        <v>16609.706575079068</v>
      </c>
      <c r="AS46" s="316">
        <f>'6.Venituri'!AR59</f>
        <v>16844.221947135837</v>
      </c>
      <c r="AT46" s="316">
        <f>'6.Venituri'!AS59</f>
        <v>17084.794962449501</v>
      </c>
      <c r="AU46" s="343"/>
      <c r="AV46" s="41"/>
    </row>
    <row r="47" spans="1:48" ht="18" customHeight="1" x14ac:dyDescent="0.3">
      <c r="A47" s="41"/>
      <c r="B47" s="300">
        <f t="shared" ref="B47" si="19">B46+1</f>
        <v>23</v>
      </c>
      <c r="C47" s="608" t="s">
        <v>424</v>
      </c>
      <c r="D47" s="608"/>
      <c r="E47" s="608"/>
      <c r="F47" s="608"/>
      <c r="G47" s="608"/>
      <c r="H47" s="43"/>
      <c r="I47" s="315" t="s">
        <v>407</v>
      </c>
      <c r="J47" s="302"/>
      <c r="K47" s="302"/>
      <c r="L47" s="302"/>
      <c r="M47" s="302"/>
      <c r="N47" s="302"/>
      <c r="O47" s="302"/>
      <c r="P47" s="316">
        <f>'6.Venituri'!O72</f>
        <v>227128.76702710471</v>
      </c>
      <c r="Q47" s="316">
        <f>'6.Venituri'!P72</f>
        <v>54146.721994204818</v>
      </c>
      <c r="R47" s="316">
        <f>'6.Venituri'!Q72</f>
        <v>31604.949132409667</v>
      </c>
      <c r="S47" s="316">
        <f>'6.Venituri'!R72</f>
        <v>35730.824173998655</v>
      </c>
      <c r="T47" s="316">
        <f>'6.Venituri'!S72</f>
        <v>31755.357464925724</v>
      </c>
      <c r="U47" s="316">
        <f>'6.Venituri'!T72</f>
        <v>27866.605657045337</v>
      </c>
      <c r="V47" s="316">
        <f>'6.Venituri'!U72</f>
        <v>25977.426587486094</v>
      </c>
      <c r="W47" s="316">
        <f>'6.Venituri'!V72</f>
        <v>24040.032700051808</v>
      </c>
      <c r="X47" s="316">
        <f>'6.Venituri'!W72</f>
        <v>22047.051605352299</v>
      </c>
      <c r="Y47" s="316">
        <f>'6.Venituri'!X72</f>
        <v>22079.264366208783</v>
      </c>
      <c r="Z47" s="316">
        <f>'6.Venituri'!Y72</f>
        <v>22146.939753953964</v>
      </c>
      <c r="AA47" s="316">
        <f>'6.Venituri'!Z72</f>
        <v>22192.561081479918</v>
      </c>
      <c r="AB47" s="316">
        <f>'6.Venituri'!AA72</f>
        <v>22215.847909207445</v>
      </c>
      <c r="AC47" s="316">
        <f>'6.Venituri'!AB72</f>
        <v>22216.483420009223</v>
      </c>
      <c r="AD47" s="316">
        <f>'6.Venituri'!AC72</f>
        <v>22874.235419594908</v>
      </c>
      <c r="AE47" s="316">
        <f>'6.Venituri'!AD72</f>
        <v>23526.102620827987</v>
      </c>
      <c r="AF47" s="316">
        <f>'6.Venituri'!AE72</f>
        <v>24172.23937394128</v>
      </c>
      <c r="AG47" s="316">
        <f>'6.Venituri'!AF72</f>
        <v>24812.79612294845</v>
      </c>
      <c r="AH47" s="316">
        <f>'6.Venituri'!AG72</f>
        <v>25447.919498958909</v>
      </c>
      <c r="AI47" s="316">
        <f>'6.Venituri'!AH72</f>
        <v>26077.752411363454</v>
      </c>
      <c r="AJ47" s="316">
        <f>'6.Venituri'!AI72</f>
        <v>26702.434136937445</v>
      </c>
      <c r="AK47" s="316">
        <f>'6.Venituri'!AJ72</f>
        <v>27424.093714756422</v>
      </c>
      <c r="AL47" s="316">
        <f>'6.Venituri'!AK72</f>
        <v>28145.053178296992</v>
      </c>
      <c r="AM47" s="316">
        <f>'6.Venituri'!AL72</f>
        <v>28865.3658819845</v>
      </c>
      <c r="AN47" s="316">
        <f>'6.Venituri'!AM72</f>
        <v>29585.084711782431</v>
      </c>
      <c r="AO47" s="316">
        <f>'6.Venituri'!AN72</f>
        <v>30304.262092798552</v>
      </c>
      <c r="AP47" s="316">
        <f>'6.Venituri'!AO72</f>
        <v>31022.949996808278</v>
      </c>
      <c r="AQ47" s="316">
        <f>'6.Venituri'!AP72</f>
        <v>31741.199949696322</v>
      </c>
      <c r="AR47" s="316">
        <f>'6.Venituri'!AQ72</f>
        <v>32459.063038817567</v>
      </c>
      <c r="AS47" s="316">
        <f>'6.Venituri'!AR72</f>
        <v>33176.589920278289</v>
      </c>
      <c r="AT47" s="316">
        <f>'6.Venituri'!AS72</f>
        <v>33893.830826138605</v>
      </c>
      <c r="AU47" s="343"/>
      <c r="AV47" s="41"/>
    </row>
    <row r="48" spans="1:48" ht="27.75" customHeight="1" x14ac:dyDescent="0.3">
      <c r="A48" s="41"/>
      <c r="B48" s="338">
        <f>B47+1</f>
        <v>24</v>
      </c>
      <c r="C48" s="708" t="s">
        <v>425</v>
      </c>
      <c r="D48" s="709"/>
      <c r="E48" s="709"/>
      <c r="F48" s="709"/>
      <c r="G48" s="710"/>
      <c r="H48" s="317"/>
      <c r="I48" s="313" t="s">
        <v>407</v>
      </c>
      <c r="J48" s="318"/>
      <c r="K48" s="318"/>
      <c r="L48" s="318"/>
      <c r="M48" s="318"/>
      <c r="N48" s="318"/>
      <c r="O48" s="318"/>
      <c r="P48" s="321">
        <f>SUM(P45:P47)</f>
        <v>256983.79347965756</v>
      </c>
      <c r="Q48" s="321">
        <f t="shared" ref="Q48:AI48" si="20">SUM(Q45:Q47)</f>
        <v>85499.235812516621</v>
      </c>
      <c r="R48" s="321">
        <f t="shared" si="20"/>
        <v>62161.149407018813</v>
      </c>
      <c r="S48" s="321">
        <f t="shared" si="20"/>
        <v>66423.639592549211</v>
      </c>
      <c r="T48" s="321">
        <f t="shared" si="20"/>
        <v>62444.81876359423</v>
      </c>
      <c r="U48" s="321">
        <f t="shared" si="20"/>
        <v>58450.590648772311</v>
      </c>
      <c r="V48" s="321">
        <f t="shared" si="20"/>
        <v>57129.619995330475</v>
      </c>
      <c r="W48" s="321">
        <f t="shared" si="20"/>
        <v>55802.683863442267</v>
      </c>
      <c r="X48" s="321">
        <f t="shared" si="20"/>
        <v>54464.193558003157</v>
      </c>
      <c r="Y48" s="321">
        <f t="shared" si="20"/>
        <v>55340.448131307669</v>
      </c>
      <c r="Z48" s="321">
        <f t="shared" si="20"/>
        <v>56503.957593617073</v>
      </c>
      <c r="AA48" s="321">
        <f t="shared" si="20"/>
        <v>57695.961207116183</v>
      </c>
      <c r="AB48" s="321">
        <f t="shared" si="20"/>
        <v>58918.657978575167</v>
      </c>
      <c r="AC48" s="321">
        <f t="shared" si="20"/>
        <v>60174.334805792576</v>
      </c>
      <c r="AD48" s="321">
        <f t="shared" si="20"/>
        <v>62189.517951108035</v>
      </c>
      <c r="AE48" s="321">
        <f t="shared" si="20"/>
        <v>64261.196148053576</v>
      </c>
      <c r="AF48" s="321">
        <f t="shared" si="20"/>
        <v>66392.563685901376</v>
      </c>
      <c r="AG48" s="321">
        <f t="shared" si="20"/>
        <v>68586.963945547526</v>
      </c>
      <c r="AH48" s="321">
        <f t="shared" si="20"/>
        <v>70847.897384934098</v>
      </c>
      <c r="AI48" s="321">
        <f t="shared" si="20"/>
        <v>73179.029937885527</v>
      </c>
      <c r="AJ48" s="321">
        <f t="shared" ref="AJ48:AT48" si="21">SUM(AJ45:AJ47)</f>
        <v>75584.201848648197</v>
      </c>
      <c r="AK48" s="321">
        <f t="shared" si="21"/>
        <v>77554.170083221732</v>
      </c>
      <c r="AL48" s="321">
        <f t="shared" si="21"/>
        <v>80162.198747061004</v>
      </c>
      <c r="AM48" s="321">
        <f t="shared" si="21"/>
        <v>82858.346924304264</v>
      </c>
      <c r="AN48" s="321">
        <f t="shared" si="21"/>
        <v>85647.066361939913</v>
      </c>
      <c r="AO48" s="321">
        <f t="shared" si="21"/>
        <v>88533.032952764013</v>
      </c>
      <c r="AP48" s="321">
        <f t="shared" si="21"/>
        <v>90888.489633483696</v>
      </c>
      <c r="AQ48" s="321">
        <f t="shared" si="21"/>
        <v>92347.635434782904</v>
      </c>
      <c r="AR48" s="321">
        <f t="shared" si="21"/>
        <v>93827.904573338892</v>
      </c>
      <c r="AS48" s="321">
        <f t="shared" si="21"/>
        <v>95329.962532661084</v>
      </c>
      <c r="AT48" s="321">
        <f t="shared" si="21"/>
        <v>96854.492839217826</v>
      </c>
      <c r="AU48" s="331"/>
      <c r="AV48" s="41"/>
    </row>
    <row r="49" spans="1:48" ht="15.75" customHeight="1" x14ac:dyDescent="0.3">
      <c r="A49" s="41"/>
      <c r="B49" s="338"/>
      <c r="C49" s="368"/>
      <c r="D49" s="368"/>
      <c r="E49" s="368"/>
      <c r="F49" s="368"/>
      <c r="G49" s="368"/>
      <c r="H49" s="317"/>
      <c r="I49" s="369"/>
      <c r="J49" s="318"/>
      <c r="K49" s="318"/>
      <c r="L49" s="318"/>
      <c r="M49" s="318"/>
      <c r="N49" s="318"/>
      <c r="O49" s="318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20"/>
      <c r="AV49" s="41"/>
    </row>
    <row r="50" spans="1:48" x14ac:dyDescent="0.3">
      <c r="A50" s="41"/>
      <c r="B50" s="300">
        <f>B48+1</f>
        <v>25</v>
      </c>
      <c r="C50" s="608" t="s">
        <v>426</v>
      </c>
      <c r="D50" s="608"/>
      <c r="E50" s="608"/>
      <c r="F50" s="608"/>
      <c r="G50" s="608"/>
      <c r="H50" s="43"/>
      <c r="I50" s="315" t="s">
        <v>407</v>
      </c>
      <c r="J50" s="302"/>
      <c r="K50" s="302"/>
      <c r="L50" s="302"/>
      <c r="M50" s="302"/>
      <c r="N50" s="302"/>
      <c r="O50" s="302"/>
      <c r="P50" s="319">
        <f>'5.O&amp;M'!O73</f>
        <v>64721.114413474206</v>
      </c>
      <c r="Q50" s="319">
        <f>'5.O&amp;M'!P73</f>
        <v>69562.251924938668</v>
      </c>
      <c r="R50" s="319">
        <f>'5.O&amp;M'!Q73</f>
        <v>64476.720344892456</v>
      </c>
      <c r="S50" s="319">
        <f>'5.O&amp;M'!R73</f>
        <v>62929.69473307587</v>
      </c>
      <c r="T50" s="319">
        <f>'5.O&amp;M'!S73</f>
        <v>59766.846842495521</v>
      </c>
      <c r="U50" s="319">
        <f>'5.O&amp;M'!T73</f>
        <v>56452.427951187812</v>
      </c>
      <c r="V50" s="319">
        <f>'5.O&amp;M'!U73</f>
        <v>55818.376405556482</v>
      </c>
      <c r="W50" s="319">
        <f>'5.O&amp;M'!V73</f>
        <v>55196.891423479072</v>
      </c>
      <c r="X50" s="319">
        <f>'5.O&amp;M'!W73</f>
        <v>54587.561321371439</v>
      </c>
      <c r="Y50" s="319">
        <f>'5.O&amp;M'!X73</f>
        <v>54579.601241856006</v>
      </c>
      <c r="Z50" s="319">
        <f>'5.O&amp;M'!Y73</f>
        <v>54694.328187770632</v>
      </c>
      <c r="AA50" s="319">
        <f>'5.O&amp;M'!Z73</f>
        <v>54823.139074575301</v>
      </c>
      <c r="AB50" s="319">
        <f>'5.O&amp;M'!AA73</f>
        <v>54966.320510476915</v>
      </c>
      <c r="AC50" s="319">
        <f>'5.O&amp;M'!AB73</f>
        <v>55124.168244984176</v>
      </c>
      <c r="AD50" s="319">
        <f>'5.O&amp;M'!AC73</f>
        <v>55470.033726753216</v>
      </c>
      <c r="AE50" s="319">
        <f>'5.O&amp;M'!AD73</f>
        <v>55832.716781367941</v>
      </c>
      <c r="AF50" s="319">
        <f>'5.O&amp;M'!AE73</f>
        <v>56212.593062746324</v>
      </c>
      <c r="AG50" s="319">
        <f>'5.O&amp;M'!AF73</f>
        <v>56610.051512187376</v>
      </c>
      <c r="AH50" s="319">
        <f>'5.O&amp;M'!AG73</f>
        <v>57025.494722834032</v>
      </c>
      <c r="AI50" s="319">
        <f>'5.O&amp;M'!AH73</f>
        <v>57459.339315607445</v>
      </c>
      <c r="AJ50" s="319">
        <f>'5.O&amp;M'!AI73</f>
        <v>57912.016326948287</v>
      </c>
      <c r="AK50" s="319">
        <f>'5.O&amp;M'!AJ73</f>
        <v>56463.420847666392</v>
      </c>
      <c r="AL50" s="319">
        <f>'5.O&amp;M'!AK73</f>
        <v>57105.378444395414</v>
      </c>
      <c r="AM50" s="319">
        <f>'5.O&amp;M'!AL73</f>
        <v>57766.030872618954</v>
      </c>
      <c r="AN50" s="319">
        <f>'5.O&amp;M'!AM73</f>
        <v>58445.908365415613</v>
      </c>
      <c r="AO50" s="319">
        <f>'5.O&amp;M'!AN73</f>
        <v>59145.557092466282</v>
      </c>
      <c r="AP50" s="319">
        <f>'5.O&amp;M'!AO73</f>
        <v>59865.539636675414</v>
      </c>
      <c r="AQ50" s="319">
        <f>'5.O&amp;M'!AP73</f>
        <v>60606.435485086578</v>
      </c>
      <c r="AR50" s="319">
        <f>'5.O&amp;M'!AQ73</f>
        <v>61368.841534521329</v>
      </c>
      <c r="AS50" s="319">
        <f>'5.O&amp;M'!AR73</f>
        <v>62153.372612382795</v>
      </c>
      <c r="AT50" s="319">
        <f>'5.O&amp;M'!AS73</f>
        <v>62960.662013079229</v>
      </c>
      <c r="AU50" s="349"/>
      <c r="AV50" s="41"/>
    </row>
    <row r="51" spans="1:48" x14ac:dyDescent="0.3">
      <c r="A51" s="41"/>
      <c r="B51" s="300">
        <f>B50+1</f>
        <v>26</v>
      </c>
      <c r="C51" s="598" t="s">
        <v>675</v>
      </c>
      <c r="D51" s="599"/>
      <c r="E51" s="599"/>
      <c r="F51" s="599"/>
      <c r="G51" s="600"/>
      <c r="H51" s="43"/>
      <c r="I51" s="315" t="s">
        <v>407</v>
      </c>
      <c r="J51" s="302"/>
      <c r="K51" s="302"/>
      <c r="L51" s="302"/>
      <c r="M51" s="302"/>
      <c r="N51" s="302"/>
      <c r="O51" s="302"/>
      <c r="P51" s="319">
        <f>-'5.O&amp;M'!O69/1000</f>
        <v>-168.22900000000001</v>
      </c>
      <c r="Q51" s="319">
        <f>-'5.O&amp;M'!P69/1000</f>
        <v>-120.69863902833822</v>
      </c>
      <c r="R51" s="319">
        <f>-'5.O&amp;M'!Q69/1000</f>
        <v>-111.99558897764857</v>
      </c>
      <c r="S51" s="319">
        <f>-'5.O&amp;M'!R69/1000</f>
        <v>-115.33605491758212</v>
      </c>
      <c r="T51" s="319">
        <f>-'5.O&amp;M'!S69/1000</f>
        <v>-114.58581739174672</v>
      </c>
      <c r="U51" s="319">
        <f>-'5.O&amp;M'!T69/1000</f>
        <v>-113.80672095060621</v>
      </c>
      <c r="V51" s="319">
        <f>-'5.O&amp;M'!U69/1000</f>
        <v>-114.67756108335192</v>
      </c>
      <c r="W51" s="319">
        <f>-'5.O&amp;M'!V69/1000</f>
        <v>-115.58964862006093</v>
      </c>
      <c r="X51" s="319">
        <f>-'5.O&amp;M'!W69/1000</f>
        <v>-116.5412733900281</v>
      </c>
      <c r="Y51" s="319">
        <f>-'5.O&amp;M'!X69/1000</f>
        <v>-118.4817476220212</v>
      </c>
      <c r="Z51" s="319">
        <f>-'5.O&amp;M'!Y69/1000</f>
        <v>-120.59343285372046</v>
      </c>
      <c r="AA51" s="319">
        <f>-'5.O&amp;M'!Z69/1000</f>
        <v>-122.76367661698829</v>
      </c>
      <c r="AB51" s="319">
        <f>-'5.O&amp;M'!AA69/1000</f>
        <v>-124.99424775695184</v>
      </c>
      <c r="AC51" s="319">
        <f>-'5.O&amp;M'!AB69/1000</f>
        <v>-127.28695780822336</v>
      </c>
      <c r="AD51" s="319">
        <f>-'5.O&amp;M'!AC69/1000</f>
        <v>-129.95339763545292</v>
      </c>
      <c r="AE51" s="319">
        <f>-'5.O&amp;M'!AD69/1000</f>
        <v>-132.69370840536925</v>
      </c>
      <c r="AF51" s="319">
        <f>-'5.O&amp;M'!AE69/1000</f>
        <v>-135.5101045757304</v>
      </c>
      <c r="AG51" s="319">
        <f>-'5.O&amp;M'!AF69/1000</f>
        <v>-138.40486531547543</v>
      </c>
      <c r="AH51" s="319">
        <f>-'5.O&amp;M'!AG69/1000</f>
        <v>-141.38033649545258</v>
      </c>
      <c r="AI51" s="319">
        <f>-'5.O&amp;M'!AH69/1000</f>
        <v>-144.43893273742822</v>
      </c>
      <c r="AJ51" s="319">
        <f>-'5.O&amp;M'!AI69/1000</f>
        <v>-147.5831395231605</v>
      </c>
      <c r="AK51" s="319">
        <f>-'5.O&amp;M'!AJ69/1000</f>
        <v>-140.17526642161877</v>
      </c>
      <c r="AL51" s="319">
        <f>-'5.O&amp;M'!AK69/1000</f>
        <v>-143.68119574472263</v>
      </c>
      <c r="AM51" s="319">
        <f>-'5.O&amp;M'!AL69/1000</f>
        <v>-147.2805083410735</v>
      </c>
      <c r="AN51" s="319">
        <f>-'5.O&amp;M'!AM69/1000</f>
        <v>-150.97600231386008</v>
      </c>
      <c r="AO51" s="319">
        <f>-'5.O&amp;M'!AN69/1000</f>
        <v>-154.7705586394309</v>
      </c>
      <c r="AP51" s="319">
        <f>-'5.O&amp;M'!AO69/1000</f>
        <v>-158.66714365971777</v>
      </c>
      <c r="AQ51" s="319">
        <f>-'5.O&amp;M'!AP69/1000</f>
        <v>-162.66881164927852</v>
      </c>
      <c r="AR51" s="319">
        <f>-'5.O&amp;M'!AQ69/1000</f>
        <v>-166.77870745919958</v>
      </c>
      <c r="AS51" s="319">
        <f>-'5.O&amp;M'!AR69/1000</f>
        <v>-171.00006924016449</v>
      </c>
      <c r="AT51" s="319">
        <f>-'5.O&amp;M'!AS69/1000</f>
        <v>-175.33623124706548</v>
      </c>
      <c r="AU51" s="349"/>
      <c r="AV51" s="41"/>
    </row>
    <row r="52" spans="1:48" x14ac:dyDescent="0.3">
      <c r="A52" s="41"/>
      <c r="B52" s="300">
        <f>B51+1</f>
        <v>27</v>
      </c>
      <c r="C52" s="679" t="s">
        <v>64</v>
      </c>
      <c r="D52" s="680"/>
      <c r="E52" s="680"/>
      <c r="F52" s="680"/>
      <c r="G52" s="681"/>
      <c r="H52" s="43"/>
      <c r="I52" s="313" t="s">
        <v>407</v>
      </c>
      <c r="J52" s="302"/>
      <c r="K52" s="302"/>
      <c r="L52" s="302"/>
      <c r="M52" s="302"/>
      <c r="N52" s="302"/>
      <c r="O52" s="302"/>
      <c r="P52" s="321">
        <f>SUM(P50:P51)</f>
        <v>64552.885413474207</v>
      </c>
      <c r="Q52" s="321">
        <f t="shared" ref="Q52:AT52" si="22">SUM(Q50:Q51)</f>
        <v>69441.553285910326</v>
      </c>
      <c r="R52" s="321">
        <f t="shared" si="22"/>
        <v>64364.724755914809</v>
      </c>
      <c r="S52" s="321">
        <f t="shared" si="22"/>
        <v>62814.358678158285</v>
      </c>
      <c r="T52" s="321">
        <f t="shared" si="22"/>
        <v>59652.261025103777</v>
      </c>
      <c r="U52" s="321">
        <f t="shared" si="22"/>
        <v>56338.621230237208</v>
      </c>
      <c r="V52" s="321">
        <f t="shared" si="22"/>
        <v>55703.698844473132</v>
      </c>
      <c r="W52" s="321">
        <f t="shared" si="22"/>
        <v>55081.301774859014</v>
      </c>
      <c r="X52" s="321">
        <f t="shared" si="22"/>
        <v>54471.020047981408</v>
      </c>
      <c r="Y52" s="321">
        <f t="shared" si="22"/>
        <v>54461.119494233986</v>
      </c>
      <c r="Z52" s="321">
        <f t="shared" si="22"/>
        <v>54573.734754916914</v>
      </c>
      <c r="AA52" s="321">
        <f t="shared" si="22"/>
        <v>54700.375397958313</v>
      </c>
      <c r="AB52" s="321">
        <f t="shared" si="22"/>
        <v>54841.326262719966</v>
      </c>
      <c r="AC52" s="321">
        <f t="shared" si="22"/>
        <v>54996.881287175951</v>
      </c>
      <c r="AD52" s="321">
        <f t="shared" si="22"/>
        <v>55340.080329117765</v>
      </c>
      <c r="AE52" s="321">
        <f t="shared" si="22"/>
        <v>55700.023072962569</v>
      </c>
      <c r="AF52" s="321">
        <f t="shared" si="22"/>
        <v>56077.082958170591</v>
      </c>
      <c r="AG52" s="321">
        <f t="shared" si="22"/>
        <v>56471.646646871901</v>
      </c>
      <c r="AH52" s="321">
        <f t="shared" si="22"/>
        <v>56884.114386338581</v>
      </c>
      <c r="AI52" s="321">
        <f t="shared" si="22"/>
        <v>57314.900382870015</v>
      </c>
      <c r="AJ52" s="321">
        <f t="shared" si="22"/>
        <v>57764.433187425129</v>
      </c>
      <c r="AK52" s="321">
        <f t="shared" si="22"/>
        <v>56323.245581244773</v>
      </c>
      <c r="AL52" s="321">
        <f t="shared" si="22"/>
        <v>56961.697248650693</v>
      </c>
      <c r="AM52" s="321">
        <f t="shared" si="22"/>
        <v>57618.750364277883</v>
      </c>
      <c r="AN52" s="321">
        <f t="shared" si="22"/>
        <v>58294.932363101754</v>
      </c>
      <c r="AO52" s="321">
        <f t="shared" si="22"/>
        <v>58990.786533826853</v>
      </c>
      <c r="AP52" s="321">
        <f t="shared" si="22"/>
        <v>59706.872493015697</v>
      </c>
      <c r="AQ52" s="321">
        <f t="shared" si="22"/>
        <v>60443.766673437298</v>
      </c>
      <c r="AR52" s="321">
        <f t="shared" si="22"/>
        <v>61202.062827062131</v>
      </c>
      <c r="AS52" s="321">
        <f t="shared" si="22"/>
        <v>61982.372543142628</v>
      </c>
      <c r="AT52" s="321">
        <f t="shared" si="22"/>
        <v>62785.325781832165</v>
      </c>
      <c r="AU52" s="331"/>
      <c r="AV52" s="41"/>
    </row>
    <row r="53" spans="1:48" x14ac:dyDescent="0.3">
      <c r="A53" s="41"/>
      <c r="B53" s="300"/>
      <c r="C53" s="599"/>
      <c r="D53" s="599"/>
      <c r="E53" s="599"/>
      <c r="F53" s="599"/>
      <c r="G53" s="599"/>
      <c r="H53" s="43"/>
      <c r="I53" s="357"/>
      <c r="J53" s="302"/>
      <c r="K53" s="302"/>
      <c r="L53" s="302"/>
      <c r="M53" s="302"/>
      <c r="N53" s="302"/>
      <c r="O53" s="302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V53" s="41"/>
    </row>
    <row r="54" spans="1:48" ht="24.75" customHeight="1" x14ac:dyDescent="0.3">
      <c r="A54" s="41"/>
      <c r="B54" s="300">
        <f>B52+1</f>
        <v>28</v>
      </c>
      <c r="C54" s="608" t="s">
        <v>427</v>
      </c>
      <c r="D54" s="608"/>
      <c r="E54" s="608"/>
      <c r="F54" s="608"/>
      <c r="G54" s="608"/>
      <c r="H54" s="43"/>
      <c r="I54" s="315" t="s">
        <v>407</v>
      </c>
      <c r="J54" s="302"/>
      <c r="K54" s="302"/>
      <c r="L54" s="302"/>
      <c r="M54" s="302"/>
      <c r="N54" s="302"/>
      <c r="O54" s="302"/>
      <c r="P54" s="319">
        <f t="shared" ref="P54:AT54" si="23">P48-P52</f>
        <v>192430.90806618336</v>
      </c>
      <c r="Q54" s="319">
        <f t="shared" si="23"/>
        <v>16057.682526606295</v>
      </c>
      <c r="R54" s="319">
        <f t="shared" si="23"/>
        <v>-2203.5753488959963</v>
      </c>
      <c r="S54" s="319">
        <f t="shared" si="23"/>
        <v>3609.2809143909253</v>
      </c>
      <c r="T54" s="319">
        <f t="shared" si="23"/>
        <v>2792.5577384904536</v>
      </c>
      <c r="U54" s="319">
        <f t="shared" si="23"/>
        <v>2111.9694185351036</v>
      </c>
      <c r="V54" s="319">
        <f t="shared" si="23"/>
        <v>1425.9211508573426</v>
      </c>
      <c r="W54" s="319">
        <f t="shared" si="23"/>
        <v>721.38208858325379</v>
      </c>
      <c r="X54" s="319">
        <f t="shared" si="23"/>
        <v>-6.8264899782516295</v>
      </c>
      <c r="Y54" s="319">
        <f t="shared" si="23"/>
        <v>879.32863707368233</v>
      </c>
      <c r="Z54" s="319">
        <f t="shared" si="23"/>
        <v>1930.2228387001596</v>
      </c>
      <c r="AA54" s="319">
        <f t="shared" si="23"/>
        <v>2995.5858091578702</v>
      </c>
      <c r="AB54" s="319">
        <f t="shared" si="23"/>
        <v>4077.3317158552018</v>
      </c>
      <c r="AC54" s="319">
        <f t="shared" si="23"/>
        <v>5177.4535186166249</v>
      </c>
      <c r="AD54" s="319">
        <f t="shared" si="23"/>
        <v>6849.4376219902697</v>
      </c>
      <c r="AE54" s="319">
        <f t="shared" si="23"/>
        <v>8561.1730750910065</v>
      </c>
      <c r="AF54" s="319">
        <f t="shared" si="23"/>
        <v>10315.480727730785</v>
      </c>
      <c r="AG54" s="319">
        <f t="shared" si="23"/>
        <v>12115.317298675625</v>
      </c>
      <c r="AH54" s="319">
        <f t="shared" si="23"/>
        <v>13963.782998595518</v>
      </c>
      <c r="AI54" s="319">
        <f t="shared" si="23"/>
        <v>15864.129555015512</v>
      </c>
      <c r="AJ54" s="319">
        <f t="shared" si="23"/>
        <v>17819.768661223068</v>
      </c>
      <c r="AK54" s="319">
        <f t="shared" si="23"/>
        <v>21230.924501976959</v>
      </c>
      <c r="AL54" s="319">
        <f t="shared" si="23"/>
        <v>23200.501498410311</v>
      </c>
      <c r="AM54" s="319">
        <f t="shared" si="23"/>
        <v>25239.596560026381</v>
      </c>
      <c r="AN54" s="319">
        <f t="shared" si="23"/>
        <v>27352.133998838159</v>
      </c>
      <c r="AO54" s="319">
        <f t="shared" si="23"/>
        <v>29542.24641893716</v>
      </c>
      <c r="AP54" s="319">
        <f t="shared" si="23"/>
        <v>31181.617140467999</v>
      </c>
      <c r="AQ54" s="319">
        <f t="shared" si="23"/>
        <v>31903.868761345606</v>
      </c>
      <c r="AR54" s="319">
        <f t="shared" si="23"/>
        <v>32625.841746276761</v>
      </c>
      <c r="AS54" s="319">
        <f t="shared" si="23"/>
        <v>33347.589989518456</v>
      </c>
      <c r="AT54" s="319">
        <f t="shared" si="23"/>
        <v>34069.167057385661</v>
      </c>
      <c r="AU54" s="349"/>
      <c r="AV54" s="41"/>
    </row>
    <row r="55" spans="1:48" x14ac:dyDescent="0.3">
      <c r="A55" s="41"/>
      <c r="B55" s="300">
        <f>B54+1</f>
        <v>29</v>
      </c>
      <c r="C55" s="598" t="s">
        <v>428</v>
      </c>
      <c r="D55" s="599"/>
      <c r="E55" s="599"/>
      <c r="F55" s="599"/>
      <c r="G55" s="600"/>
      <c r="H55" s="43"/>
      <c r="I55" s="315" t="s">
        <v>407</v>
      </c>
      <c r="J55" s="302"/>
      <c r="K55" s="302"/>
      <c r="L55" s="302"/>
      <c r="M55" s="302"/>
      <c r="N55" s="302"/>
      <c r="O55" s="302"/>
      <c r="P55" s="319">
        <f>'6.Venituri'!O54</f>
        <v>34866.087960921344</v>
      </c>
      <c r="Q55" s="319">
        <f>'6.Venituri'!P54</f>
        <v>38209.738106626857</v>
      </c>
      <c r="R55" s="319">
        <f>'6.Venituri'!Q54</f>
        <v>33920.52007028331</v>
      </c>
      <c r="S55" s="319">
        <f>'6.Venituri'!R54</f>
        <v>32236.879314525318</v>
      </c>
      <c r="T55" s="319">
        <f>'6.Venituri'!S54</f>
        <v>29077.385543827015</v>
      </c>
      <c r="U55" s="319">
        <f>'6.Venituri'!T54</f>
        <v>25868.442959460834</v>
      </c>
      <c r="V55" s="319">
        <f>'6.Venituri'!U54</f>
        <v>24666.182997712109</v>
      </c>
      <c r="W55" s="319">
        <f>'6.Venituri'!V54</f>
        <v>23434.240260088616</v>
      </c>
      <c r="X55" s="319">
        <f>'6.Venituri'!W54</f>
        <v>22170.419368720573</v>
      </c>
      <c r="Y55" s="319">
        <f>'6.Venituri'!X54</f>
        <v>21318.41747675712</v>
      </c>
      <c r="Z55" s="319">
        <f>'6.Venituri'!Y54</f>
        <v>20337.31034810753</v>
      </c>
      <c r="AA55" s="319">
        <f>'6.Venituri'!Z54</f>
        <v>19319.738948939026</v>
      </c>
      <c r="AB55" s="319">
        <f>'6.Venituri'!AA54</f>
        <v>18263.510441109207</v>
      </c>
      <c r="AC55" s="319">
        <f>'6.Venituri'!AB54</f>
        <v>17166.316859200819</v>
      </c>
      <c r="AD55" s="319">
        <f>'6.Venituri'!AC54</f>
        <v>16154.751195240091</v>
      </c>
      <c r="AE55" s="319">
        <f>'6.Venituri'!AD54</f>
        <v>15097.623254142347</v>
      </c>
      <c r="AF55" s="319">
        <f>'6.Venituri'!AE54</f>
        <v>13992.268750786221</v>
      </c>
      <c r="AG55" s="319">
        <f>'6.Venituri'!AF54</f>
        <v>12835.8836895883</v>
      </c>
      <c r="AH55" s="319">
        <f>'6.Venituri'!AG54</f>
        <v>11625.516836858829</v>
      </c>
      <c r="AI55" s="319">
        <f>'6.Venituri'!AH54</f>
        <v>10358.061789085363</v>
      </c>
      <c r="AJ55" s="319">
        <f>'6.Venituri'!AI54</f>
        <v>9030.2486152375368</v>
      </c>
      <c r="AK55" s="319">
        <f>'6.Venituri'!AJ54</f>
        <v>6333.344479201075</v>
      </c>
      <c r="AL55" s="319">
        <f>'6.Venituri'!AK54</f>
        <v>5088.2328756314073</v>
      </c>
      <c r="AM55" s="319">
        <f>'6.Venituri'!AL54</f>
        <v>3773.0498302991782</v>
      </c>
      <c r="AN55" s="319">
        <f>'6.Venituri'!AM54</f>
        <v>2383.9267152581247</v>
      </c>
      <c r="AO55" s="319">
        <f>'6.Venituri'!AN54</f>
        <v>916.78623250081205</v>
      </c>
      <c r="AP55" s="319">
        <f>'6.Venituri'!AO54</f>
        <v>0</v>
      </c>
      <c r="AQ55" s="319">
        <f>'6.Venituri'!AP54</f>
        <v>0</v>
      </c>
      <c r="AR55" s="319">
        <f>'6.Venituri'!AQ54</f>
        <v>0</v>
      </c>
      <c r="AS55" s="319">
        <f>'6.Venituri'!AR54</f>
        <v>0</v>
      </c>
      <c r="AT55" s="319">
        <f>'6.Venituri'!AS54</f>
        <v>0</v>
      </c>
      <c r="AU55" s="349"/>
      <c r="AV55" s="41"/>
    </row>
    <row r="56" spans="1:48" ht="28.5" customHeight="1" x14ac:dyDescent="0.3">
      <c r="A56" s="41"/>
      <c r="B56" s="300">
        <f>B55+1</f>
        <v>30</v>
      </c>
      <c r="C56" s="682" t="s">
        <v>429</v>
      </c>
      <c r="D56" s="682"/>
      <c r="E56" s="682"/>
      <c r="F56" s="682"/>
      <c r="G56" s="682"/>
      <c r="H56" s="317"/>
      <c r="I56" s="313" t="s">
        <v>407</v>
      </c>
      <c r="J56" s="302"/>
      <c r="K56" s="302"/>
      <c r="L56" s="302"/>
      <c r="M56" s="302"/>
      <c r="N56" s="302"/>
      <c r="O56" s="302"/>
      <c r="P56" s="321">
        <f>SUM(P54:P55)</f>
        <v>227296.9960271047</v>
      </c>
      <c r="Q56" s="321">
        <f t="shared" ref="Q56:AI56" si="24">SUM(Q54:Q55)</f>
        <v>54267.420633233152</v>
      </c>
      <c r="R56" s="321">
        <f t="shared" si="24"/>
        <v>31716.944721387314</v>
      </c>
      <c r="S56" s="321">
        <f t="shared" si="24"/>
        <v>35846.16022891624</v>
      </c>
      <c r="T56" s="321">
        <f t="shared" si="24"/>
        <v>31869.943282317468</v>
      </c>
      <c r="U56" s="321">
        <f t="shared" si="24"/>
        <v>27980.412377995937</v>
      </c>
      <c r="V56" s="321">
        <f t="shared" si="24"/>
        <v>26092.104148569451</v>
      </c>
      <c r="W56" s="321">
        <f t="shared" si="24"/>
        <v>24155.62234867187</v>
      </c>
      <c r="X56" s="321">
        <f t="shared" si="24"/>
        <v>22163.592878742322</v>
      </c>
      <c r="Y56" s="321">
        <f t="shared" si="24"/>
        <v>22197.746113830803</v>
      </c>
      <c r="Z56" s="321">
        <f t="shared" si="24"/>
        <v>22267.53318680769</v>
      </c>
      <c r="AA56" s="321">
        <f t="shared" si="24"/>
        <v>22315.324758096896</v>
      </c>
      <c r="AB56" s="321">
        <f t="shared" si="24"/>
        <v>22340.842156964409</v>
      </c>
      <c r="AC56" s="321">
        <f t="shared" si="24"/>
        <v>22343.770377817444</v>
      </c>
      <c r="AD56" s="321">
        <f t="shared" si="24"/>
        <v>23004.188817230359</v>
      </c>
      <c r="AE56" s="321">
        <f t="shared" si="24"/>
        <v>23658.796329233352</v>
      </c>
      <c r="AF56" s="321">
        <f t="shared" si="24"/>
        <v>24307.749478517006</v>
      </c>
      <c r="AG56" s="321">
        <f t="shared" si="24"/>
        <v>24951.200988263925</v>
      </c>
      <c r="AH56" s="321">
        <f t="shared" si="24"/>
        <v>25589.299835454345</v>
      </c>
      <c r="AI56" s="321">
        <f t="shared" si="24"/>
        <v>26222.191344100873</v>
      </c>
      <c r="AJ56" s="321">
        <f t="shared" ref="AJ56:AT56" si="25">SUM(AJ54:AJ55)</f>
        <v>26850.017276460603</v>
      </c>
      <c r="AK56" s="321">
        <f t="shared" si="25"/>
        <v>27564.268981178033</v>
      </c>
      <c r="AL56" s="321">
        <f t="shared" si="25"/>
        <v>28288.73437404172</v>
      </c>
      <c r="AM56" s="321">
        <f t="shared" si="25"/>
        <v>29012.646390325557</v>
      </c>
      <c r="AN56" s="321">
        <f t="shared" si="25"/>
        <v>29736.060714096282</v>
      </c>
      <c r="AO56" s="321">
        <f t="shared" si="25"/>
        <v>30459.032651437974</v>
      </c>
      <c r="AP56" s="321">
        <f t="shared" si="25"/>
        <v>31181.617140467999</v>
      </c>
      <c r="AQ56" s="321">
        <f t="shared" si="25"/>
        <v>31903.868761345606</v>
      </c>
      <c r="AR56" s="321">
        <f t="shared" si="25"/>
        <v>32625.841746276761</v>
      </c>
      <c r="AS56" s="321">
        <f t="shared" si="25"/>
        <v>33347.589989518456</v>
      </c>
      <c r="AT56" s="321">
        <f t="shared" si="25"/>
        <v>34069.167057385661</v>
      </c>
      <c r="AU56" s="331"/>
      <c r="AV56" s="41"/>
    </row>
    <row r="57" spans="1:48" x14ac:dyDescent="0.3">
      <c r="A57" s="41"/>
      <c r="B57" s="300"/>
      <c r="C57" s="356"/>
      <c r="D57" s="356"/>
      <c r="E57" s="356"/>
      <c r="F57" s="356"/>
      <c r="G57" s="356"/>
      <c r="H57" s="43"/>
      <c r="I57" s="357"/>
      <c r="J57" s="302"/>
      <c r="K57" s="302"/>
      <c r="L57" s="302"/>
      <c r="M57" s="302"/>
      <c r="N57" s="302"/>
      <c r="O57" s="302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V57" s="41"/>
    </row>
    <row r="58" spans="1:48" x14ac:dyDescent="0.3">
      <c r="A58" s="41"/>
      <c r="B58" s="300">
        <f>B56+1</f>
        <v>31</v>
      </c>
      <c r="C58" s="608" t="s">
        <v>115</v>
      </c>
      <c r="D58" s="608"/>
      <c r="E58" s="608"/>
      <c r="F58" s="608"/>
      <c r="G58" s="608"/>
      <c r="H58" s="43"/>
      <c r="I58" s="315" t="s">
        <v>407</v>
      </c>
      <c r="J58" s="302"/>
      <c r="K58" s="302"/>
      <c r="L58" s="302"/>
      <c r="M58" s="302"/>
      <c r="N58" s="302"/>
      <c r="O58" s="302"/>
      <c r="P58" s="319">
        <v>0</v>
      </c>
      <c r="Q58" s="319">
        <f>'4.Investitie'!N18+'4.Investitie'!T18</f>
        <v>659500</v>
      </c>
      <c r="R58" s="319">
        <f>'4.Investitie'!O18+'4.Investitie'!U18</f>
        <v>79422768.093679011</v>
      </c>
      <c r="S58" s="319">
        <f>'4.Investitie'!P18+'4.Investitie'!V18</f>
        <v>143646508.49117312</v>
      </c>
      <c r="T58" s="319">
        <f>'4.Investitie'!Q18+'4.Investitie'!W18</f>
        <v>81066158.927915469</v>
      </c>
      <c r="U58" s="319">
        <f>'4.Investitie'!R18+'4.Investitie'!X18</f>
        <v>0</v>
      </c>
      <c r="V58" s="319">
        <v>0</v>
      </c>
      <c r="W58" s="319">
        <v>0</v>
      </c>
      <c r="X58" s="319">
        <v>0</v>
      </c>
      <c r="Y58" s="319">
        <v>0</v>
      </c>
      <c r="Z58" s="319">
        <v>0</v>
      </c>
      <c r="AA58" s="319">
        <v>0</v>
      </c>
      <c r="AB58" s="319">
        <v>0</v>
      </c>
      <c r="AC58" s="319">
        <v>0</v>
      </c>
      <c r="AD58" s="319">
        <v>0</v>
      </c>
      <c r="AE58" s="319">
        <v>0</v>
      </c>
      <c r="AF58" s="319">
        <v>0</v>
      </c>
      <c r="AG58" s="319">
        <v>0</v>
      </c>
      <c r="AH58" s="319">
        <v>0</v>
      </c>
      <c r="AI58" s="319">
        <v>0</v>
      </c>
      <c r="AJ58" s="319">
        <v>0</v>
      </c>
      <c r="AK58" s="319">
        <v>1</v>
      </c>
      <c r="AL58" s="319">
        <v>2</v>
      </c>
      <c r="AM58" s="319">
        <v>3</v>
      </c>
      <c r="AN58" s="319">
        <v>4</v>
      </c>
      <c r="AO58" s="319">
        <v>5</v>
      </c>
      <c r="AP58" s="319">
        <v>6</v>
      </c>
      <c r="AQ58" s="319">
        <v>7</v>
      </c>
      <c r="AR58" s="319">
        <v>8</v>
      </c>
      <c r="AS58" s="319">
        <v>9</v>
      </c>
      <c r="AT58" s="319">
        <v>10</v>
      </c>
      <c r="AU58" s="349"/>
      <c r="AV58" s="41"/>
    </row>
    <row r="59" spans="1:48" x14ac:dyDescent="0.3">
      <c r="A59" s="41"/>
      <c r="B59" s="300">
        <f>B58+1</f>
        <v>32</v>
      </c>
      <c r="C59" s="608" t="s">
        <v>430</v>
      </c>
      <c r="D59" s="608"/>
      <c r="E59" s="608"/>
      <c r="F59" s="608"/>
      <c r="G59" s="608"/>
      <c r="H59" s="43"/>
      <c r="I59" s="315" t="s">
        <v>407</v>
      </c>
      <c r="J59" s="302"/>
      <c r="K59" s="302"/>
      <c r="L59" s="302"/>
      <c r="M59" s="302"/>
      <c r="N59" s="302"/>
      <c r="O59" s="302"/>
      <c r="P59" s="319">
        <f t="shared" ref="P59:AT59" si="26">-P12</f>
        <v>0</v>
      </c>
      <c r="Q59" s="319">
        <f t="shared" si="26"/>
        <v>0</v>
      </c>
      <c r="R59" s="319">
        <f t="shared" si="26"/>
        <v>0</v>
      </c>
      <c r="S59" s="319">
        <f t="shared" si="26"/>
        <v>0</v>
      </c>
      <c r="T59" s="319">
        <f t="shared" si="26"/>
        <v>0</v>
      </c>
      <c r="U59" s="319">
        <f t="shared" si="26"/>
        <v>0</v>
      </c>
      <c r="V59" s="319">
        <f t="shared" si="26"/>
        <v>0</v>
      </c>
      <c r="W59" s="319">
        <f t="shared" si="26"/>
        <v>0</v>
      </c>
      <c r="X59" s="319">
        <f t="shared" si="26"/>
        <v>0</v>
      </c>
      <c r="Y59" s="319">
        <f t="shared" si="26"/>
        <v>0</v>
      </c>
      <c r="Z59" s="319">
        <f t="shared" si="26"/>
        <v>0</v>
      </c>
      <c r="AA59" s="319">
        <f t="shared" si="26"/>
        <v>0</v>
      </c>
      <c r="AB59" s="319">
        <f t="shared" si="26"/>
        <v>0</v>
      </c>
      <c r="AC59" s="319">
        <f t="shared" si="26"/>
        <v>0</v>
      </c>
      <c r="AD59" s="319">
        <f t="shared" si="26"/>
        <v>0</v>
      </c>
      <c r="AE59" s="319">
        <f t="shared" si="26"/>
        <v>0</v>
      </c>
      <c r="AF59" s="319">
        <f t="shared" si="26"/>
        <v>0</v>
      </c>
      <c r="AG59" s="319">
        <f t="shared" si="26"/>
        <v>0</v>
      </c>
      <c r="AH59" s="319">
        <f t="shared" si="26"/>
        <v>0</v>
      </c>
      <c r="AI59" s="319">
        <f t="shared" si="26"/>
        <v>0</v>
      </c>
      <c r="AJ59" s="319">
        <f t="shared" si="26"/>
        <v>0</v>
      </c>
      <c r="AK59" s="319">
        <f t="shared" si="26"/>
        <v>0</v>
      </c>
      <c r="AL59" s="319">
        <f t="shared" si="26"/>
        <v>0</v>
      </c>
      <c r="AM59" s="319">
        <f t="shared" si="26"/>
        <v>0</v>
      </c>
      <c r="AN59" s="319">
        <f t="shared" si="26"/>
        <v>0</v>
      </c>
      <c r="AO59" s="319">
        <f t="shared" si="26"/>
        <v>0</v>
      </c>
      <c r="AP59" s="319">
        <f t="shared" si="26"/>
        <v>0</v>
      </c>
      <c r="AQ59" s="319">
        <f t="shared" si="26"/>
        <v>0</v>
      </c>
      <c r="AR59" s="319">
        <f t="shared" si="26"/>
        <v>0</v>
      </c>
      <c r="AS59" s="319">
        <f t="shared" si="26"/>
        <v>0</v>
      </c>
      <c r="AT59" s="319">
        <f t="shared" si="26"/>
        <v>0</v>
      </c>
      <c r="AU59" s="349"/>
      <c r="AV59" s="41"/>
    </row>
    <row r="60" spans="1:48" x14ac:dyDescent="0.3">
      <c r="A60" s="41"/>
      <c r="B60" s="300">
        <f t="shared" ref="B60:B61" si="27">B59+1</f>
        <v>33</v>
      </c>
      <c r="C60" s="608" t="s">
        <v>116</v>
      </c>
      <c r="D60" s="608"/>
      <c r="E60" s="608"/>
      <c r="F60" s="608"/>
      <c r="G60" s="608"/>
      <c r="H60" s="43"/>
      <c r="I60" s="315" t="s">
        <v>407</v>
      </c>
      <c r="J60" s="302"/>
      <c r="K60" s="302"/>
      <c r="L60" s="302"/>
      <c r="M60" s="302"/>
      <c r="N60" s="302"/>
      <c r="O60" s="302"/>
      <c r="P60" s="319">
        <v>0</v>
      </c>
      <c r="Q60" s="319">
        <f>'4.Investitie'!N18*'8.IRR+FG'!$K$22</f>
        <v>659500</v>
      </c>
      <c r="R60" s="319">
        <f>'4.Investitie'!O18*'8.IRR+FG'!$K$22</f>
        <v>63304454.749578759</v>
      </c>
      <c r="S60" s="319">
        <f>'4.Investitie'!P18*'8.IRR+FG'!$K$22</f>
        <v>115953879.83872533</v>
      </c>
      <c r="T60" s="319">
        <f>'4.Investitie'!Q18*'8.IRR+FG'!$K$22</f>
        <v>66404203.716747239</v>
      </c>
      <c r="U60" s="319">
        <f>'4.Investitie'!R18*'8.IRR+FG'!$K$22</f>
        <v>0</v>
      </c>
      <c r="V60" s="319">
        <v>0</v>
      </c>
      <c r="W60" s="319">
        <v>0</v>
      </c>
      <c r="X60" s="319">
        <v>0</v>
      </c>
      <c r="Y60" s="319">
        <v>0</v>
      </c>
      <c r="Z60" s="319">
        <v>0</v>
      </c>
      <c r="AA60" s="319">
        <v>0</v>
      </c>
      <c r="AB60" s="319">
        <v>0</v>
      </c>
      <c r="AC60" s="319">
        <v>0</v>
      </c>
      <c r="AD60" s="319">
        <v>0</v>
      </c>
      <c r="AE60" s="319">
        <v>0</v>
      </c>
      <c r="AF60" s="319">
        <v>0</v>
      </c>
      <c r="AG60" s="319">
        <v>0</v>
      </c>
      <c r="AH60" s="319">
        <v>0</v>
      </c>
      <c r="AI60" s="319">
        <v>0</v>
      </c>
      <c r="AJ60" s="319">
        <v>0</v>
      </c>
      <c r="AK60" s="319">
        <v>0</v>
      </c>
      <c r="AL60" s="319">
        <v>0</v>
      </c>
      <c r="AM60" s="319">
        <v>0</v>
      </c>
      <c r="AN60" s="319">
        <v>0</v>
      </c>
      <c r="AO60" s="319">
        <v>0</v>
      </c>
      <c r="AP60" s="319">
        <v>0</v>
      </c>
      <c r="AQ60" s="319">
        <v>0</v>
      </c>
      <c r="AR60" s="319">
        <v>0</v>
      </c>
      <c r="AS60" s="319">
        <v>0</v>
      </c>
      <c r="AT60" s="319">
        <v>0</v>
      </c>
      <c r="AU60" s="349"/>
      <c r="AV60" s="41"/>
    </row>
    <row r="61" spans="1:48" x14ac:dyDescent="0.3">
      <c r="A61" s="41"/>
      <c r="B61" s="300">
        <f t="shared" si="27"/>
        <v>34</v>
      </c>
      <c r="C61" s="598" t="s">
        <v>117</v>
      </c>
      <c r="D61" s="599"/>
      <c r="E61" s="599"/>
      <c r="F61" s="599"/>
      <c r="G61" s="600"/>
      <c r="H61" s="317"/>
      <c r="I61" s="315" t="s">
        <v>407</v>
      </c>
      <c r="J61" s="318"/>
      <c r="K61" s="318"/>
      <c r="L61" s="318"/>
      <c r="M61" s="318"/>
      <c r="N61" s="318"/>
      <c r="O61" s="318"/>
      <c r="P61" s="319">
        <f>P58-P60</f>
        <v>0</v>
      </c>
      <c r="Q61" s="319">
        <f t="shared" ref="Q61:U61" si="28">Q58-Q60</f>
        <v>0</v>
      </c>
      <c r="R61" s="319">
        <f t="shared" si="28"/>
        <v>16118313.344100252</v>
      </c>
      <c r="S61" s="319">
        <f t="shared" si="28"/>
        <v>27692628.65244779</v>
      </c>
      <c r="T61" s="319">
        <f t="shared" si="28"/>
        <v>14661955.21116823</v>
      </c>
      <c r="U61" s="319">
        <f t="shared" si="28"/>
        <v>0</v>
      </c>
      <c r="V61" s="319">
        <v>0</v>
      </c>
      <c r="W61" s="319">
        <v>0</v>
      </c>
      <c r="X61" s="319">
        <v>0</v>
      </c>
      <c r="Y61" s="319">
        <v>0</v>
      </c>
      <c r="Z61" s="319">
        <v>0</v>
      </c>
      <c r="AA61" s="319">
        <v>0</v>
      </c>
      <c r="AB61" s="319">
        <v>0</v>
      </c>
      <c r="AC61" s="319">
        <v>0</v>
      </c>
      <c r="AD61" s="319">
        <v>0</v>
      </c>
      <c r="AE61" s="319">
        <v>0</v>
      </c>
      <c r="AF61" s="319">
        <v>0</v>
      </c>
      <c r="AG61" s="319">
        <v>0</v>
      </c>
      <c r="AH61" s="319">
        <v>0</v>
      </c>
      <c r="AI61" s="319">
        <v>0</v>
      </c>
      <c r="AJ61" s="319">
        <v>0</v>
      </c>
      <c r="AK61" s="319">
        <v>0</v>
      </c>
      <c r="AL61" s="319">
        <v>0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49"/>
      <c r="AV61" s="41"/>
    </row>
    <row r="62" spans="1:48" x14ac:dyDescent="0.3">
      <c r="A62" s="41"/>
      <c r="B62" s="300"/>
      <c r="C62" s="680"/>
      <c r="D62" s="680"/>
      <c r="E62" s="680"/>
      <c r="F62" s="680"/>
      <c r="G62" s="680"/>
      <c r="H62" s="317"/>
      <c r="I62" s="357"/>
      <c r="J62" s="318"/>
      <c r="K62" s="318"/>
      <c r="L62" s="318"/>
      <c r="M62" s="318"/>
      <c r="N62" s="318"/>
      <c r="O62" s="318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20"/>
      <c r="AV62" s="41"/>
    </row>
    <row r="63" spans="1:48" x14ac:dyDescent="0.3">
      <c r="A63" s="41"/>
      <c r="B63" s="300">
        <f>B61+1</f>
        <v>35</v>
      </c>
      <c r="C63" s="598" t="s">
        <v>118</v>
      </c>
      <c r="D63" s="599"/>
      <c r="E63" s="599"/>
      <c r="F63" s="599"/>
      <c r="G63" s="600"/>
      <c r="H63" s="317"/>
      <c r="I63" s="315" t="s">
        <v>59</v>
      </c>
      <c r="J63" s="318"/>
      <c r="K63" s="318"/>
      <c r="L63" s="318"/>
      <c r="M63" s="318"/>
      <c r="N63" s="318"/>
      <c r="O63" s="318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V63" s="41"/>
    </row>
    <row r="64" spans="1:48" x14ac:dyDescent="0.3">
      <c r="A64" s="41"/>
      <c r="B64" s="300">
        <f>B63+1</f>
        <v>36</v>
      </c>
      <c r="C64" s="598" t="s">
        <v>74</v>
      </c>
      <c r="D64" s="599"/>
      <c r="E64" s="599"/>
      <c r="F64" s="599"/>
      <c r="G64" s="600"/>
      <c r="H64" s="317"/>
      <c r="I64" s="315" t="s">
        <v>59</v>
      </c>
      <c r="J64" s="318"/>
      <c r="K64" s="318"/>
      <c r="L64" s="318"/>
      <c r="M64" s="318"/>
      <c r="N64" s="318"/>
      <c r="O64" s="318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  <c r="AL64" s="354"/>
      <c r="AM64" s="354"/>
      <c r="AN64" s="354"/>
      <c r="AO64" s="354"/>
      <c r="AP64" s="354"/>
      <c r="AQ64" s="354"/>
      <c r="AR64" s="354"/>
      <c r="AS64" s="354"/>
      <c r="AT64" s="354"/>
      <c r="AV64" s="41"/>
    </row>
    <row r="65" spans="1:48" x14ac:dyDescent="0.3">
      <c r="A65" s="41"/>
      <c r="B65" s="300">
        <f>B64+1</f>
        <v>37</v>
      </c>
      <c r="C65" s="598" t="s">
        <v>73</v>
      </c>
      <c r="D65" s="599"/>
      <c r="E65" s="599"/>
      <c r="F65" s="599"/>
      <c r="G65" s="600"/>
      <c r="H65" s="317"/>
      <c r="I65" s="315" t="s">
        <v>59</v>
      </c>
      <c r="J65" s="318"/>
      <c r="K65" s="318"/>
      <c r="L65" s="318"/>
      <c r="M65" s="318"/>
      <c r="N65" s="318"/>
      <c r="O65" s="318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4"/>
      <c r="AO65" s="354"/>
      <c r="AP65" s="354"/>
      <c r="AQ65" s="354"/>
      <c r="AR65" s="354"/>
      <c r="AS65" s="354"/>
      <c r="AT65" s="354"/>
      <c r="AV65" s="41"/>
    </row>
    <row r="66" spans="1:48" x14ac:dyDescent="0.3">
      <c r="A66" s="41"/>
      <c r="B66" s="338"/>
      <c r="C66" s="372"/>
      <c r="D66" s="372"/>
      <c r="E66" s="372"/>
      <c r="F66" s="372"/>
      <c r="G66" s="372"/>
      <c r="H66" s="317"/>
      <c r="I66" s="369"/>
      <c r="J66" s="318"/>
      <c r="K66" s="318"/>
      <c r="L66" s="318"/>
      <c r="M66" s="318"/>
      <c r="N66" s="318"/>
      <c r="O66" s="318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20"/>
      <c r="AV66" s="41"/>
    </row>
    <row r="67" spans="1:48" x14ac:dyDescent="0.3">
      <c r="A67" s="41"/>
      <c r="B67" s="338">
        <f>B65+1</f>
        <v>38</v>
      </c>
      <c r="C67" s="679" t="s">
        <v>119</v>
      </c>
      <c r="D67" s="680"/>
      <c r="E67" s="680"/>
      <c r="F67" s="680"/>
      <c r="G67" s="681"/>
      <c r="H67" s="317"/>
      <c r="I67" s="313" t="s">
        <v>59</v>
      </c>
      <c r="J67" s="318"/>
      <c r="K67" s="318"/>
      <c r="L67" s="318"/>
      <c r="M67" s="318"/>
      <c r="N67" s="318"/>
      <c r="O67" s="318"/>
      <c r="P67" s="321">
        <f>P56-P58-P59+P60+P61+P63-P64-P65</f>
        <v>227296.9960271047</v>
      </c>
      <c r="Q67" s="321">
        <f t="shared" ref="Q67:AI67" si="29">Q56-Q58-Q59+Q60+Q61+Q63-Q64-Q65</f>
        <v>54267.420633233152</v>
      </c>
      <c r="R67" s="321">
        <f t="shared" si="29"/>
        <v>31716.944721385837</v>
      </c>
      <c r="S67" s="321">
        <f t="shared" si="29"/>
        <v>35846.160228908062</v>
      </c>
      <c r="T67" s="321">
        <f t="shared" si="29"/>
        <v>31869.943282321095</v>
      </c>
      <c r="U67" s="321">
        <f t="shared" si="29"/>
        <v>27980.412377995937</v>
      </c>
      <c r="V67" s="321">
        <f t="shared" si="29"/>
        <v>26092.104148569451</v>
      </c>
      <c r="W67" s="321">
        <f t="shared" si="29"/>
        <v>24155.62234867187</v>
      </c>
      <c r="X67" s="321">
        <f t="shared" si="29"/>
        <v>22163.592878742322</v>
      </c>
      <c r="Y67" s="321">
        <f t="shared" si="29"/>
        <v>22197.746113830803</v>
      </c>
      <c r="Z67" s="321">
        <f t="shared" si="29"/>
        <v>22267.53318680769</v>
      </c>
      <c r="AA67" s="321">
        <f t="shared" si="29"/>
        <v>22315.324758096896</v>
      </c>
      <c r="AB67" s="321">
        <f t="shared" si="29"/>
        <v>22340.842156964409</v>
      </c>
      <c r="AC67" s="321">
        <f t="shared" si="29"/>
        <v>22343.770377817444</v>
      </c>
      <c r="AD67" s="321">
        <f t="shared" si="29"/>
        <v>23004.188817230359</v>
      </c>
      <c r="AE67" s="321">
        <f t="shared" si="29"/>
        <v>23658.796329233352</v>
      </c>
      <c r="AF67" s="321">
        <f t="shared" si="29"/>
        <v>24307.749478517006</v>
      </c>
      <c r="AG67" s="321">
        <f t="shared" si="29"/>
        <v>24951.200988263925</v>
      </c>
      <c r="AH67" s="321">
        <f t="shared" si="29"/>
        <v>25589.299835454345</v>
      </c>
      <c r="AI67" s="321">
        <f t="shared" si="29"/>
        <v>26222.191344100873</v>
      </c>
      <c r="AJ67" s="321">
        <f t="shared" ref="AJ67:AT67" si="30">AJ56-AJ58-AJ59+AJ60+AJ61+AJ63-AJ64-AJ65</f>
        <v>26850.017276460603</v>
      </c>
      <c r="AK67" s="321">
        <f t="shared" si="30"/>
        <v>27563.268981178033</v>
      </c>
      <c r="AL67" s="321">
        <f t="shared" si="30"/>
        <v>28286.73437404172</v>
      </c>
      <c r="AM67" s="321">
        <f t="shared" si="30"/>
        <v>29009.646390325557</v>
      </c>
      <c r="AN67" s="321">
        <f t="shared" si="30"/>
        <v>29732.060714096282</v>
      </c>
      <c r="AO67" s="321">
        <f t="shared" si="30"/>
        <v>30454.032651437974</v>
      </c>
      <c r="AP67" s="321">
        <f t="shared" si="30"/>
        <v>31175.617140467999</v>
      </c>
      <c r="AQ67" s="321">
        <f t="shared" si="30"/>
        <v>31896.868761345606</v>
      </c>
      <c r="AR67" s="321">
        <f t="shared" si="30"/>
        <v>32617.841746276761</v>
      </c>
      <c r="AS67" s="321">
        <f t="shared" si="30"/>
        <v>33338.589989518456</v>
      </c>
      <c r="AT67" s="321">
        <f t="shared" si="30"/>
        <v>34059.167057385661</v>
      </c>
      <c r="AU67" s="331"/>
      <c r="AV67" s="41"/>
    </row>
    <row r="68" spans="1:48" x14ac:dyDescent="0.3">
      <c r="A68" s="41"/>
      <c r="B68" s="338">
        <f>B67+1</f>
        <v>39</v>
      </c>
      <c r="C68" s="679" t="s">
        <v>120</v>
      </c>
      <c r="D68" s="680"/>
      <c r="E68" s="680"/>
      <c r="F68" s="680"/>
      <c r="G68" s="681"/>
      <c r="H68" s="317"/>
      <c r="I68" s="313" t="s">
        <v>59</v>
      </c>
      <c r="J68" s="318"/>
      <c r="K68" s="318"/>
      <c r="L68" s="318"/>
      <c r="M68" s="318"/>
      <c r="N68" s="318"/>
      <c r="O68" s="318"/>
      <c r="P68" s="321">
        <f>P67</f>
        <v>227296.9960271047</v>
      </c>
      <c r="Q68" s="321">
        <f>P68+Q67</f>
        <v>281564.41666033783</v>
      </c>
      <c r="R68" s="321">
        <f t="shared" ref="R68:AJ68" si="31">Q68+R67</f>
        <v>313281.36138172366</v>
      </c>
      <c r="S68" s="321">
        <f t="shared" si="31"/>
        <v>349127.52161063172</v>
      </c>
      <c r="T68" s="321">
        <f t="shared" si="31"/>
        <v>380997.46489295282</v>
      </c>
      <c r="U68" s="321">
        <f t="shared" si="31"/>
        <v>408977.87727094878</v>
      </c>
      <c r="V68" s="321">
        <f t="shared" si="31"/>
        <v>435069.98141951824</v>
      </c>
      <c r="W68" s="321">
        <f t="shared" si="31"/>
        <v>459225.60376819014</v>
      </c>
      <c r="X68" s="321">
        <f t="shared" si="31"/>
        <v>481389.19664693245</v>
      </c>
      <c r="Y68" s="321">
        <f t="shared" si="31"/>
        <v>503586.94276076328</v>
      </c>
      <c r="Z68" s="321">
        <f t="shared" si="31"/>
        <v>525854.47594757099</v>
      </c>
      <c r="AA68" s="321">
        <f t="shared" si="31"/>
        <v>548169.80070566793</v>
      </c>
      <c r="AB68" s="321">
        <f t="shared" si="31"/>
        <v>570510.64286263229</v>
      </c>
      <c r="AC68" s="321">
        <f t="shared" si="31"/>
        <v>592854.41324044974</v>
      </c>
      <c r="AD68" s="321">
        <f t="shared" si="31"/>
        <v>615858.60205768014</v>
      </c>
      <c r="AE68" s="321">
        <f t="shared" si="31"/>
        <v>639517.39838691347</v>
      </c>
      <c r="AF68" s="321">
        <f t="shared" si="31"/>
        <v>663825.14786543045</v>
      </c>
      <c r="AG68" s="321">
        <f t="shared" si="31"/>
        <v>688776.34885369439</v>
      </c>
      <c r="AH68" s="321">
        <f t="shared" si="31"/>
        <v>714365.64868914871</v>
      </c>
      <c r="AI68" s="321">
        <f t="shared" si="31"/>
        <v>740587.84003324958</v>
      </c>
      <c r="AJ68" s="321">
        <f t="shared" si="31"/>
        <v>767437.85730971023</v>
      </c>
      <c r="AK68" s="321">
        <f t="shared" ref="AK68" si="32">AJ68+AK67</f>
        <v>795001.12629088829</v>
      </c>
      <c r="AL68" s="321">
        <f t="shared" ref="AL68" si="33">AK68+AL67</f>
        <v>823287.86066492996</v>
      </c>
      <c r="AM68" s="321">
        <f t="shared" ref="AM68" si="34">AL68+AM67</f>
        <v>852297.50705525547</v>
      </c>
      <c r="AN68" s="321">
        <f t="shared" ref="AN68" si="35">AM68+AN67</f>
        <v>882029.56776935176</v>
      </c>
      <c r="AO68" s="321">
        <f t="shared" ref="AO68" si="36">AN68+AO67</f>
        <v>912483.60042078979</v>
      </c>
      <c r="AP68" s="321">
        <f t="shared" ref="AP68" si="37">AO68+AP67</f>
        <v>943659.21756125777</v>
      </c>
      <c r="AQ68" s="321">
        <f t="shared" ref="AQ68" si="38">AP68+AQ67</f>
        <v>975556.0863226034</v>
      </c>
      <c r="AR68" s="321">
        <f t="shared" ref="AR68" si="39">AQ68+AR67</f>
        <v>1008173.9280688801</v>
      </c>
      <c r="AS68" s="321">
        <f t="shared" ref="AS68" si="40">AR68+AS67</f>
        <v>1041512.5180583985</v>
      </c>
      <c r="AT68" s="321">
        <f t="shared" ref="AT68" si="41">AS68+AT67</f>
        <v>1075571.6851157842</v>
      </c>
      <c r="AU68" s="331"/>
      <c r="AV68" s="41"/>
    </row>
    <row r="69" spans="1:48" x14ac:dyDescent="0.3">
      <c r="A69" s="41"/>
      <c r="B69" s="338"/>
      <c r="C69" s="680"/>
      <c r="D69" s="680"/>
      <c r="E69" s="680"/>
      <c r="F69" s="680"/>
      <c r="G69" s="680"/>
      <c r="H69" s="317"/>
      <c r="I69" s="369"/>
      <c r="J69" s="318"/>
      <c r="K69" s="318"/>
      <c r="L69" s="318"/>
      <c r="M69" s="318"/>
      <c r="N69" s="318"/>
      <c r="O69" s="318"/>
      <c r="P69" s="370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20"/>
      <c r="AV69" s="41"/>
    </row>
    <row r="70" spans="1:48" ht="17.25" thickBot="1" x14ac:dyDescent="0.35">
      <c r="A70" s="41"/>
      <c r="B70" s="41"/>
      <c r="C70" s="237"/>
      <c r="D70" s="237"/>
      <c r="E70" s="237"/>
      <c r="F70" s="237"/>
      <c r="G70" s="237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</row>
    <row r="71" spans="1:48" ht="17.25" thickBot="1" x14ac:dyDescent="0.35">
      <c r="A71" s="41"/>
      <c r="B71" s="41"/>
      <c r="C71" s="615" t="s">
        <v>441</v>
      </c>
      <c r="D71" s="616"/>
      <c r="E71" s="616"/>
      <c r="F71" s="616"/>
      <c r="G71" s="616"/>
      <c r="H71" s="617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</row>
    <row r="72" spans="1:48" x14ac:dyDescent="0.3">
      <c r="A72" s="41"/>
      <c r="AV72" s="41"/>
    </row>
    <row r="73" spans="1:48" ht="21" customHeight="1" x14ac:dyDescent="0.3">
      <c r="A73" s="41"/>
      <c r="C73" s="699" t="s">
        <v>443</v>
      </c>
      <c r="D73" s="699"/>
      <c r="E73" s="699"/>
      <c r="F73" s="699"/>
      <c r="G73" s="699"/>
      <c r="K73" s="353" t="str">
        <f>"NPV @ "&amp;TEXT(RAS,"0,0%")</f>
        <v>NPV @ 3,0%</v>
      </c>
      <c r="AV73" s="41"/>
    </row>
    <row r="74" spans="1:48" ht="16.5" customHeight="1" x14ac:dyDescent="0.3">
      <c r="A74" s="41"/>
      <c r="B74" s="296">
        <f>B68+1</f>
        <v>40</v>
      </c>
      <c r="C74" s="693" t="s">
        <v>671</v>
      </c>
      <c r="D74" s="694"/>
      <c r="E74" s="694"/>
      <c r="F74" s="694"/>
      <c r="G74" s="695"/>
      <c r="H74" s="43"/>
      <c r="I74" s="315" t="s">
        <v>407</v>
      </c>
      <c r="K74" s="44">
        <f>Q74+NPV(RAS,R74:ATJ74)</f>
        <v>69091.763973100766</v>
      </c>
      <c r="P74" s="326">
        <f>'7.Beneficii economice'!M15</f>
        <v>0</v>
      </c>
      <c r="Q74" s="326">
        <f>'7.Beneficii economice'!N15</f>
        <v>0</v>
      </c>
      <c r="R74" s="326">
        <f>'7.Beneficii economice'!O15</f>
        <v>0</v>
      </c>
      <c r="S74" s="326">
        <f>'7.Beneficii economice'!P15</f>
        <v>332.57940020215369</v>
      </c>
      <c r="T74" s="326">
        <f>'7.Beneficii economice'!Q15</f>
        <v>1004.7063831460531</v>
      </c>
      <c r="U74" s="326">
        <f>'7.Beneficii economice'!R15</f>
        <v>1824.9554324376925</v>
      </c>
      <c r="V74" s="326">
        <f>'7.Beneficii economice'!S15</f>
        <v>1968.5861840647328</v>
      </c>
      <c r="W74" s="326">
        <f>'7.Beneficii economice'!T15</f>
        <v>2112.2169356917734</v>
      </c>
      <c r="X74" s="326">
        <f>'7.Beneficii economice'!U15</f>
        <v>2348.7852324892524</v>
      </c>
      <c r="Y74" s="326">
        <f>'7.Beneficii economice'!V15</f>
        <v>2585.3535292867309</v>
      </c>
      <c r="Z74" s="326">
        <f>'7.Beneficii economice'!W15</f>
        <v>2821.9218260842094</v>
      </c>
      <c r="AA74" s="326">
        <f>'7.Beneficii economice'!X15</f>
        <v>3058.4901228816875</v>
      </c>
      <c r="AB74" s="326">
        <f>'7.Beneficii economice'!Y15</f>
        <v>3295.0584196791669</v>
      </c>
      <c r="AC74" s="326">
        <f>'7.Beneficii economice'!Z15</f>
        <v>3523.1778487338788</v>
      </c>
      <c r="AD74" s="326">
        <f>'7.Beneficii economice'!AA15</f>
        <v>3751.2972777885898</v>
      </c>
      <c r="AE74" s="326">
        <f>'7.Beneficii economice'!AB15</f>
        <v>3979.4167068433012</v>
      </c>
      <c r="AF74" s="326">
        <f>'7.Beneficii economice'!AC15</f>
        <v>4207.5361358980126</v>
      </c>
      <c r="AG74" s="326">
        <f>'7.Beneficii economice'!AD15</f>
        <v>4435.6555649527245</v>
      </c>
      <c r="AH74" s="326">
        <f>'7.Beneficii economice'!AE15</f>
        <v>4663.7749940074355</v>
      </c>
      <c r="AI74" s="326">
        <f>'7.Beneficii economice'!AF15</f>
        <v>4891.8944230621473</v>
      </c>
      <c r="AJ74" s="326">
        <f>'7.Beneficii economice'!AG15</f>
        <v>5120.0138521168583</v>
      </c>
      <c r="AK74" s="326">
        <f>'7.Beneficii economice'!AH15</f>
        <v>5348.1332811715702</v>
      </c>
      <c r="AL74" s="326">
        <f>'7.Beneficii economice'!AI15</f>
        <v>5576.2527102262811</v>
      </c>
      <c r="AM74" s="326">
        <f>'7.Beneficii economice'!AJ15</f>
        <v>5812.8210070237601</v>
      </c>
      <c r="AN74" s="326">
        <f>'7.Beneficii economice'!AK15</f>
        <v>6049.38930382124</v>
      </c>
      <c r="AO74" s="326">
        <f>'7.Beneficii economice'!AL15</f>
        <v>6285.9576006187181</v>
      </c>
      <c r="AP74" s="326">
        <f>'7.Beneficii economice'!AM15</f>
        <v>6522.525897416197</v>
      </c>
      <c r="AQ74" s="326">
        <f>'7.Beneficii economice'!AN15</f>
        <v>6759.0941942136751</v>
      </c>
      <c r="AR74" s="326">
        <f>'7.Beneficii economice'!AO15</f>
        <v>6759.0941942136751</v>
      </c>
      <c r="AS74" s="326">
        <f>'7.Beneficii economice'!AP15</f>
        <v>6759.0941942136751</v>
      </c>
      <c r="AT74" s="326">
        <f>'7.Beneficii economice'!AQ15</f>
        <v>6759.0941942136751</v>
      </c>
      <c r="AU74" s="45"/>
      <c r="AV74" s="41"/>
    </row>
    <row r="75" spans="1:48" ht="16.5" customHeight="1" x14ac:dyDescent="0.3">
      <c r="A75" s="41"/>
      <c r="B75" s="300">
        <f>B74+1</f>
        <v>41</v>
      </c>
      <c r="C75" s="700" t="s">
        <v>444</v>
      </c>
      <c r="D75" s="700"/>
      <c r="E75" s="700"/>
      <c r="F75" s="700"/>
      <c r="G75" s="700"/>
      <c r="H75" s="43"/>
      <c r="I75" s="315" t="s">
        <v>407</v>
      </c>
      <c r="K75" s="44">
        <f>Q75+NPV(RAS,R75:ATJ75)</f>
        <v>19964.123043993841</v>
      </c>
      <c r="P75" s="326">
        <f>'7.Beneficii economice'!M20</f>
        <v>0</v>
      </c>
      <c r="Q75" s="326">
        <f>'7.Beneficii economice'!N20</f>
        <v>0</v>
      </c>
      <c r="R75" s="326">
        <f>'7.Beneficii economice'!O20</f>
        <v>0</v>
      </c>
      <c r="S75" s="326">
        <f>'7.Beneficii economice'!P20</f>
        <v>296.60778356672381</v>
      </c>
      <c r="T75" s="326">
        <f>'7.Beneficii economice'!Q20</f>
        <v>820.5088336818161</v>
      </c>
      <c r="U75" s="326">
        <f>'7.Beneficii economice'!R20</f>
        <v>1421.564398406578</v>
      </c>
      <c r="V75" s="326">
        <f>'7.Beneficii economice'!S20</f>
        <v>1393.6778138247214</v>
      </c>
      <c r="W75" s="326">
        <f>'7.Beneficii economice'!T20</f>
        <v>1366.4203722010557</v>
      </c>
      <c r="X75" s="326">
        <f>'7.Beneficii economice'!U20</f>
        <v>1339.7799197381771</v>
      </c>
      <c r="Y75" s="326">
        <f>'7.Beneficii economice'!V20</f>
        <v>1313.744531023536</v>
      </c>
      <c r="Z75" s="326">
        <f>'7.Beneficii economice'!W20</f>
        <v>1288.3025047612628</v>
      </c>
      <c r="AA75" s="326">
        <f>'7.Beneficii economice'!X20</f>
        <v>1263.4423595836849</v>
      </c>
      <c r="AB75" s="326">
        <f>'7.Beneficii economice'!Y20</f>
        <v>1239.1528299410136</v>
      </c>
      <c r="AC75" s="326">
        <f>'7.Beneficii economice'!Z20</f>
        <v>1215.4228620677907</v>
      </c>
      <c r="AD75" s="326">
        <f>'7.Beneficii economice'!AA20</f>
        <v>1192.2416100246</v>
      </c>
      <c r="AE75" s="326">
        <f>'7.Beneficii economice'!AB20</f>
        <v>1169.5984318137039</v>
      </c>
      <c r="AF75" s="326">
        <f>'7.Beneficii economice'!AC20</f>
        <v>1147.4828855671694</v>
      </c>
      <c r="AG75" s="326">
        <f>'7.Beneficii economice'!AD20</f>
        <v>1125.8847258061753</v>
      </c>
      <c r="AH75" s="326">
        <f>'7.Beneficii economice'!AE20</f>
        <v>1104.7938997701349</v>
      </c>
      <c r="AI75" s="326">
        <f>'7.Beneficii economice'!AF20</f>
        <v>1084.2005438143601</v>
      </c>
      <c r="AJ75" s="326">
        <f>'7.Beneficii economice'!AG20</f>
        <v>1064.0949798749677</v>
      </c>
      <c r="AK75" s="326">
        <f>'7.Beneficii economice'!AH20</f>
        <v>1040.7755757879324</v>
      </c>
      <c r="AL75" s="326">
        <f>'7.Beneficii economice'!AI20</f>
        <v>1017.5528367703263</v>
      </c>
      <c r="AM75" s="326">
        <f>'7.Beneficii economice'!AJ20</f>
        <v>994.4251135266004</v>
      </c>
      <c r="AN75" s="326">
        <f>'7.Beneficii economice'!AK20</f>
        <v>971.39076984092776</v>
      </c>
      <c r="AO75" s="326">
        <f>'7.Beneficii economice'!AL20</f>
        <v>948.4481824293598</v>
      </c>
      <c r="AP75" s="326">
        <f>'7.Beneficii economice'!AM20</f>
        <v>925.59574079334561</v>
      </c>
      <c r="AQ75" s="326">
        <f>'7.Beneficii economice'!AN20</f>
        <v>902.83184707462965</v>
      </c>
      <c r="AR75" s="326">
        <f>'7.Beneficii economice'!AO20</f>
        <v>880.15491591154944</v>
      </c>
      <c r="AS75" s="326">
        <f>'7.Beneficii economice'!AP20</f>
        <v>857.5633742966354</v>
      </c>
      <c r="AT75" s="326">
        <f>'7.Beneficii economice'!AQ20</f>
        <v>835.05566143559452</v>
      </c>
      <c r="AU75" s="45"/>
      <c r="AV75" s="41"/>
    </row>
    <row r="76" spans="1:48" ht="16.5" customHeight="1" x14ac:dyDescent="0.3">
      <c r="A76" s="41"/>
      <c r="B76" s="296">
        <f>B75+1</f>
        <v>42</v>
      </c>
      <c r="C76" s="598" t="s">
        <v>422</v>
      </c>
      <c r="D76" s="599"/>
      <c r="E76" s="599"/>
      <c r="F76" s="599"/>
      <c r="G76" s="600"/>
      <c r="H76" s="43"/>
      <c r="I76" s="315" t="s">
        <v>407</v>
      </c>
      <c r="K76" s="44">
        <f>Q76+NPV(RAS,R76:ATJ76)</f>
        <v>0</v>
      </c>
      <c r="P76" s="326">
        <f t="shared" ref="P76:AI76" si="42">P13</f>
        <v>0</v>
      </c>
      <c r="Q76" s="326">
        <f t="shared" si="42"/>
        <v>0</v>
      </c>
      <c r="R76" s="326">
        <f t="shared" si="42"/>
        <v>0</v>
      </c>
      <c r="S76" s="326">
        <f t="shared" si="42"/>
        <v>0</v>
      </c>
      <c r="T76" s="326">
        <f t="shared" si="42"/>
        <v>0</v>
      </c>
      <c r="U76" s="326">
        <f t="shared" si="42"/>
        <v>0</v>
      </c>
      <c r="V76" s="326">
        <f t="shared" si="42"/>
        <v>0</v>
      </c>
      <c r="W76" s="326">
        <f t="shared" si="42"/>
        <v>0</v>
      </c>
      <c r="X76" s="326">
        <f t="shared" si="42"/>
        <v>0</v>
      </c>
      <c r="Y76" s="326">
        <f t="shared" si="42"/>
        <v>0</v>
      </c>
      <c r="Z76" s="326">
        <f t="shared" si="42"/>
        <v>0</v>
      </c>
      <c r="AA76" s="326">
        <f t="shared" si="42"/>
        <v>0</v>
      </c>
      <c r="AB76" s="326">
        <f t="shared" si="42"/>
        <v>0</v>
      </c>
      <c r="AC76" s="326">
        <f t="shared" si="42"/>
        <v>0</v>
      </c>
      <c r="AD76" s="326">
        <f t="shared" si="42"/>
        <v>0</v>
      </c>
      <c r="AE76" s="326">
        <f t="shared" si="42"/>
        <v>0</v>
      </c>
      <c r="AF76" s="326">
        <f t="shared" si="42"/>
        <v>0</v>
      </c>
      <c r="AG76" s="326">
        <f t="shared" si="42"/>
        <v>0</v>
      </c>
      <c r="AH76" s="326">
        <f t="shared" si="42"/>
        <v>0</v>
      </c>
      <c r="AI76" s="326">
        <f t="shared" si="42"/>
        <v>0</v>
      </c>
      <c r="AJ76" s="326">
        <f>AT13</f>
        <v>0</v>
      </c>
      <c r="AK76" s="326">
        <f t="shared" ref="AK76:AT76" si="43">AU13</f>
        <v>0</v>
      </c>
      <c r="AL76" s="326">
        <f t="shared" si="43"/>
        <v>0</v>
      </c>
      <c r="AM76" s="326">
        <f t="shared" si="43"/>
        <v>0</v>
      </c>
      <c r="AN76" s="326">
        <f t="shared" si="43"/>
        <v>0</v>
      </c>
      <c r="AO76" s="326">
        <f t="shared" si="43"/>
        <v>0</v>
      </c>
      <c r="AP76" s="326">
        <f t="shared" si="43"/>
        <v>0</v>
      </c>
      <c r="AQ76" s="326">
        <f t="shared" si="43"/>
        <v>0</v>
      </c>
      <c r="AR76" s="326">
        <f t="shared" si="43"/>
        <v>0</v>
      </c>
      <c r="AS76" s="326">
        <f t="shared" si="43"/>
        <v>0</v>
      </c>
      <c r="AT76" s="326">
        <f t="shared" si="43"/>
        <v>0</v>
      </c>
      <c r="AU76" s="45"/>
      <c r="AV76" s="41"/>
    </row>
    <row r="77" spans="1:48" x14ac:dyDescent="0.3">
      <c r="A77" s="41"/>
      <c r="B77" s="296">
        <f t="shared" ref="B77" si="44">B76+1</f>
        <v>43</v>
      </c>
      <c r="C77" s="701" t="s">
        <v>445</v>
      </c>
      <c r="D77" s="701"/>
      <c r="E77" s="701"/>
      <c r="F77" s="701"/>
      <c r="G77" s="701"/>
      <c r="H77" s="320"/>
      <c r="I77" s="313" t="s">
        <v>407</v>
      </c>
      <c r="K77" s="374">
        <f>SUM(K74:K76)</f>
        <v>89055.887017094603</v>
      </c>
      <c r="M77" s="375"/>
      <c r="P77" s="342">
        <f t="shared" ref="P77:AT77" si="45">SUM(P74:P76)</f>
        <v>0</v>
      </c>
      <c r="Q77" s="342">
        <f t="shared" si="45"/>
        <v>0</v>
      </c>
      <c r="R77" s="342">
        <f t="shared" si="45"/>
        <v>0</v>
      </c>
      <c r="S77" s="342">
        <f t="shared" si="45"/>
        <v>629.1871837688775</v>
      </c>
      <c r="T77" s="342">
        <f t="shared" si="45"/>
        <v>1825.2152168278692</v>
      </c>
      <c r="U77" s="342">
        <f t="shared" si="45"/>
        <v>3246.5198308442705</v>
      </c>
      <c r="V77" s="342">
        <f t="shared" si="45"/>
        <v>3362.263997889454</v>
      </c>
      <c r="W77" s="342">
        <f t="shared" si="45"/>
        <v>3478.6373078928291</v>
      </c>
      <c r="X77" s="342">
        <f t="shared" si="45"/>
        <v>3688.5651522274293</v>
      </c>
      <c r="Y77" s="342">
        <f t="shared" si="45"/>
        <v>3899.0980603102671</v>
      </c>
      <c r="Z77" s="342">
        <f t="shared" si="45"/>
        <v>4110.2243308454727</v>
      </c>
      <c r="AA77" s="342">
        <f t="shared" si="45"/>
        <v>4321.9324824653722</v>
      </c>
      <c r="AB77" s="342">
        <f t="shared" si="45"/>
        <v>4534.2112496201808</v>
      </c>
      <c r="AC77" s="342">
        <f t="shared" si="45"/>
        <v>4738.6007108016693</v>
      </c>
      <c r="AD77" s="342">
        <f t="shared" si="45"/>
        <v>4943.5388878131898</v>
      </c>
      <c r="AE77" s="342">
        <f t="shared" si="45"/>
        <v>5149.0151386570051</v>
      </c>
      <c r="AF77" s="342">
        <f t="shared" si="45"/>
        <v>5355.019021465182</v>
      </c>
      <c r="AG77" s="342">
        <f t="shared" si="45"/>
        <v>5561.5402907588996</v>
      </c>
      <c r="AH77" s="342">
        <f t="shared" si="45"/>
        <v>5768.5688937775703</v>
      </c>
      <c r="AI77" s="342">
        <f t="shared" si="45"/>
        <v>5976.0949668765079</v>
      </c>
      <c r="AJ77" s="342">
        <f t="shared" si="45"/>
        <v>6184.1088319918263</v>
      </c>
      <c r="AK77" s="342">
        <f t="shared" si="45"/>
        <v>6388.9088569595024</v>
      </c>
      <c r="AL77" s="342">
        <f t="shared" si="45"/>
        <v>6593.8055469966075</v>
      </c>
      <c r="AM77" s="342">
        <f t="shared" si="45"/>
        <v>6807.2461205503605</v>
      </c>
      <c r="AN77" s="342">
        <f t="shared" si="45"/>
        <v>7020.7800736621675</v>
      </c>
      <c r="AO77" s="342">
        <f t="shared" si="45"/>
        <v>7234.4057830480779</v>
      </c>
      <c r="AP77" s="342">
        <f t="shared" si="45"/>
        <v>7448.1216382095427</v>
      </c>
      <c r="AQ77" s="342">
        <f t="shared" si="45"/>
        <v>7661.926041288305</v>
      </c>
      <c r="AR77" s="342">
        <f t="shared" si="45"/>
        <v>7639.2491101252244</v>
      </c>
      <c r="AS77" s="342">
        <f t="shared" si="45"/>
        <v>7616.6575685103107</v>
      </c>
      <c r="AT77" s="342">
        <f t="shared" si="45"/>
        <v>7594.1498556492697</v>
      </c>
      <c r="AU77" s="582"/>
      <c r="AV77" s="41"/>
    </row>
    <row r="78" spans="1:48" x14ac:dyDescent="0.3">
      <c r="A78" s="41"/>
      <c r="C78" s="707"/>
      <c r="D78" s="707"/>
      <c r="E78" s="707"/>
      <c r="F78" s="707"/>
      <c r="G78" s="707"/>
      <c r="H78" s="703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1"/>
    </row>
    <row r="79" spans="1:48" ht="18.75" customHeight="1" x14ac:dyDescent="0.3">
      <c r="A79" s="41"/>
      <c r="C79" s="699" t="s">
        <v>446</v>
      </c>
      <c r="D79" s="699"/>
      <c r="E79" s="699"/>
      <c r="F79" s="699"/>
      <c r="G79" s="699"/>
      <c r="H79" s="376"/>
      <c r="K79" s="353" t="str">
        <f>"NPV @ "&amp;TEXT(RAS,"0,0%")</f>
        <v>NPV @ 3,0%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1"/>
    </row>
    <row r="80" spans="1:48" x14ac:dyDescent="0.3">
      <c r="A80" s="41"/>
      <c r="B80" s="296">
        <f>B77+1</f>
        <v>44</v>
      </c>
      <c r="C80" s="598" t="s">
        <v>447</v>
      </c>
      <c r="D80" s="599"/>
      <c r="E80" s="599"/>
      <c r="F80" s="599"/>
      <c r="G80" s="600"/>
      <c r="H80" s="43"/>
      <c r="I80" s="315" t="s">
        <v>407</v>
      </c>
      <c r="K80" s="44">
        <f>Q80+NPV(RAS,R80:AT80)</f>
        <v>-84385.954707734985</v>
      </c>
      <c r="M80" s="377">
        <v>1</v>
      </c>
      <c r="N80" s="37">
        <v>0.3</v>
      </c>
      <c r="P80" s="326">
        <f>P$15*$M80*$N80</f>
        <v>0</v>
      </c>
      <c r="Q80" s="326">
        <f t="shared" ref="Q80:AK83" si="46">Q$15*$M80*$N80</f>
        <v>-197.85</v>
      </c>
      <c r="R80" s="326">
        <f t="shared" si="46"/>
        <v>-23826.830428103702</v>
      </c>
      <c r="S80" s="326">
        <f t="shared" si="46"/>
        <v>-43093.952547351939</v>
      </c>
      <c r="T80" s="326">
        <f t="shared" si="46"/>
        <v>-22329.959568021404</v>
      </c>
      <c r="U80" s="326">
        <f t="shared" si="46"/>
        <v>0</v>
      </c>
      <c r="V80" s="326">
        <f t="shared" si="46"/>
        <v>0</v>
      </c>
      <c r="W80" s="326">
        <f t="shared" si="46"/>
        <v>0</v>
      </c>
      <c r="X80" s="326">
        <f t="shared" si="46"/>
        <v>0</v>
      </c>
      <c r="Y80" s="326">
        <f t="shared" si="46"/>
        <v>0</v>
      </c>
      <c r="Z80" s="326">
        <f t="shared" si="46"/>
        <v>0</v>
      </c>
      <c r="AA80" s="326">
        <f t="shared" si="46"/>
        <v>0</v>
      </c>
      <c r="AB80" s="326">
        <f t="shared" si="46"/>
        <v>0</v>
      </c>
      <c r="AC80" s="326">
        <f t="shared" si="46"/>
        <v>0</v>
      </c>
      <c r="AD80" s="326">
        <f t="shared" si="46"/>
        <v>0</v>
      </c>
      <c r="AE80" s="326">
        <f t="shared" si="46"/>
        <v>0</v>
      </c>
      <c r="AF80" s="326">
        <f t="shared" si="46"/>
        <v>0</v>
      </c>
      <c r="AG80" s="326">
        <f t="shared" si="46"/>
        <v>0</v>
      </c>
      <c r="AH80" s="326">
        <f t="shared" si="46"/>
        <v>0</v>
      </c>
      <c r="AI80" s="326">
        <f t="shared" si="46"/>
        <v>0</v>
      </c>
      <c r="AJ80" s="326">
        <f t="shared" si="46"/>
        <v>0</v>
      </c>
      <c r="AK80" s="326">
        <f t="shared" si="46"/>
        <v>0</v>
      </c>
      <c r="AL80" s="326">
        <f t="shared" ref="AK80:AT83" si="47">AL$15*$M80*$N80</f>
        <v>0</v>
      </c>
      <c r="AM80" s="326">
        <f t="shared" si="47"/>
        <v>0</v>
      </c>
      <c r="AN80" s="326">
        <f t="shared" si="47"/>
        <v>0</v>
      </c>
      <c r="AO80" s="326">
        <f t="shared" si="47"/>
        <v>0</v>
      </c>
      <c r="AP80" s="326">
        <f t="shared" si="47"/>
        <v>0</v>
      </c>
      <c r="AQ80" s="326">
        <f t="shared" si="47"/>
        <v>0</v>
      </c>
      <c r="AR80" s="326">
        <f t="shared" si="47"/>
        <v>0</v>
      </c>
      <c r="AS80" s="326">
        <f t="shared" si="47"/>
        <v>0</v>
      </c>
      <c r="AT80" s="326">
        <f t="shared" si="47"/>
        <v>0</v>
      </c>
      <c r="AU80" s="45"/>
      <c r="AV80" s="41"/>
    </row>
    <row r="81" spans="1:48" x14ac:dyDescent="0.3">
      <c r="A81" s="41"/>
      <c r="B81" s="296">
        <f>B80+1</f>
        <v>45</v>
      </c>
      <c r="C81" s="598" t="s">
        <v>448</v>
      </c>
      <c r="D81" s="599"/>
      <c r="E81" s="599"/>
      <c r="F81" s="599"/>
      <c r="G81" s="600"/>
      <c r="H81" s="43"/>
      <c r="I81" s="315" t="s">
        <v>407</v>
      </c>
      <c r="K81" s="44">
        <f>Q81+NPV(RAS,R81:AT81)</f>
        <v>-25315.786412320493</v>
      </c>
      <c r="M81" s="378">
        <v>0.9</v>
      </c>
      <c r="N81" s="37">
        <v>0.1</v>
      </c>
      <c r="P81" s="326">
        <f t="shared" ref="P81:AE83" si="48">P$15*$M81*$N81</f>
        <v>0</v>
      </c>
      <c r="Q81" s="326">
        <f t="shared" si="48"/>
        <v>-59.355000000000011</v>
      </c>
      <c r="R81" s="326">
        <f t="shared" si="48"/>
        <v>-7148.0491284311111</v>
      </c>
      <c r="S81" s="326">
        <f t="shared" si="48"/>
        <v>-12928.185764205582</v>
      </c>
      <c r="T81" s="326">
        <f t="shared" si="48"/>
        <v>-6698.9878704064222</v>
      </c>
      <c r="U81" s="326">
        <f t="shared" si="48"/>
        <v>0</v>
      </c>
      <c r="V81" s="326">
        <f t="shared" si="48"/>
        <v>0</v>
      </c>
      <c r="W81" s="326">
        <f t="shared" si="48"/>
        <v>0</v>
      </c>
      <c r="X81" s="326">
        <f t="shared" si="48"/>
        <v>0</v>
      </c>
      <c r="Y81" s="326">
        <f t="shared" si="48"/>
        <v>0</v>
      </c>
      <c r="Z81" s="326">
        <f t="shared" si="48"/>
        <v>0</v>
      </c>
      <c r="AA81" s="326">
        <f t="shared" si="48"/>
        <v>0</v>
      </c>
      <c r="AB81" s="326">
        <f t="shared" si="48"/>
        <v>0</v>
      </c>
      <c r="AC81" s="326">
        <f t="shared" si="48"/>
        <v>0</v>
      </c>
      <c r="AD81" s="326">
        <f t="shared" si="48"/>
        <v>0</v>
      </c>
      <c r="AE81" s="326">
        <f t="shared" si="48"/>
        <v>0</v>
      </c>
      <c r="AF81" s="326">
        <f t="shared" si="46"/>
        <v>0</v>
      </c>
      <c r="AG81" s="326">
        <f t="shared" si="46"/>
        <v>0</v>
      </c>
      <c r="AH81" s="326">
        <f t="shared" si="46"/>
        <v>0</v>
      </c>
      <c r="AI81" s="326">
        <f t="shared" si="46"/>
        <v>0</v>
      </c>
      <c r="AJ81" s="326">
        <f t="shared" si="46"/>
        <v>0</v>
      </c>
      <c r="AK81" s="326">
        <f t="shared" si="47"/>
        <v>0</v>
      </c>
      <c r="AL81" s="326">
        <f t="shared" si="47"/>
        <v>0</v>
      </c>
      <c r="AM81" s="326">
        <f t="shared" si="47"/>
        <v>0</v>
      </c>
      <c r="AN81" s="326">
        <f t="shared" si="47"/>
        <v>0</v>
      </c>
      <c r="AO81" s="326">
        <f t="shared" si="47"/>
        <v>0</v>
      </c>
      <c r="AP81" s="326">
        <f t="shared" si="47"/>
        <v>0</v>
      </c>
      <c r="AQ81" s="326">
        <f t="shared" si="47"/>
        <v>0</v>
      </c>
      <c r="AR81" s="326">
        <f t="shared" si="47"/>
        <v>0</v>
      </c>
      <c r="AS81" s="326">
        <f t="shared" si="47"/>
        <v>0</v>
      </c>
      <c r="AT81" s="326">
        <f t="shared" si="47"/>
        <v>0</v>
      </c>
      <c r="AU81" s="45"/>
      <c r="AV81" s="41"/>
    </row>
    <row r="82" spans="1:48" x14ac:dyDescent="0.3">
      <c r="A82" s="41"/>
      <c r="B82" s="296">
        <f t="shared" ref="B82:B84" si="49">B81+1</f>
        <v>46</v>
      </c>
      <c r="C82" s="598" t="s">
        <v>449</v>
      </c>
      <c r="D82" s="599"/>
      <c r="E82" s="599"/>
      <c r="F82" s="599"/>
      <c r="G82" s="600"/>
      <c r="H82" s="43"/>
      <c r="I82" s="315" t="s">
        <v>407</v>
      </c>
      <c r="K82" s="44">
        <f>Q82+NPV(RAS,R82:AT82)</f>
        <v>-42192.977353867493</v>
      </c>
      <c r="M82" s="377">
        <v>1</v>
      </c>
      <c r="N82" s="37">
        <v>0.15</v>
      </c>
      <c r="P82" s="326">
        <f t="shared" si="48"/>
        <v>0</v>
      </c>
      <c r="Q82" s="326">
        <f t="shared" si="48"/>
        <v>-98.924999999999997</v>
      </c>
      <c r="R82" s="326">
        <f t="shared" si="48"/>
        <v>-11913.415214051851</v>
      </c>
      <c r="S82" s="326">
        <f t="shared" si="48"/>
        <v>-21546.976273675969</v>
      </c>
      <c r="T82" s="326">
        <f t="shared" si="48"/>
        <v>-11164.979784010702</v>
      </c>
      <c r="U82" s="326">
        <f t="shared" si="46"/>
        <v>0</v>
      </c>
      <c r="V82" s="326">
        <f t="shared" si="46"/>
        <v>0</v>
      </c>
      <c r="W82" s="326">
        <f t="shared" si="46"/>
        <v>0</v>
      </c>
      <c r="X82" s="326">
        <f t="shared" si="46"/>
        <v>0</v>
      </c>
      <c r="Y82" s="326">
        <f t="shared" si="46"/>
        <v>0</v>
      </c>
      <c r="Z82" s="326">
        <f t="shared" si="46"/>
        <v>0</v>
      </c>
      <c r="AA82" s="326">
        <f t="shared" si="46"/>
        <v>0</v>
      </c>
      <c r="AB82" s="326">
        <f t="shared" si="46"/>
        <v>0</v>
      </c>
      <c r="AC82" s="326">
        <f t="shared" si="46"/>
        <v>0</v>
      </c>
      <c r="AD82" s="326">
        <f t="shared" si="46"/>
        <v>0</v>
      </c>
      <c r="AE82" s="326">
        <f t="shared" si="46"/>
        <v>0</v>
      </c>
      <c r="AF82" s="326">
        <f t="shared" si="46"/>
        <v>0</v>
      </c>
      <c r="AG82" s="326">
        <f t="shared" si="46"/>
        <v>0</v>
      </c>
      <c r="AH82" s="326">
        <f t="shared" si="46"/>
        <v>0</v>
      </c>
      <c r="AI82" s="326">
        <f t="shared" si="46"/>
        <v>0</v>
      </c>
      <c r="AJ82" s="326">
        <f t="shared" si="46"/>
        <v>0</v>
      </c>
      <c r="AK82" s="326">
        <f t="shared" si="47"/>
        <v>0</v>
      </c>
      <c r="AL82" s="326">
        <f t="shared" si="47"/>
        <v>0</v>
      </c>
      <c r="AM82" s="326">
        <f t="shared" si="47"/>
        <v>0</v>
      </c>
      <c r="AN82" s="326">
        <f t="shared" si="47"/>
        <v>0</v>
      </c>
      <c r="AO82" s="326">
        <f t="shared" si="47"/>
        <v>0</v>
      </c>
      <c r="AP82" s="326">
        <f t="shared" si="47"/>
        <v>0</v>
      </c>
      <c r="AQ82" s="326">
        <f t="shared" si="47"/>
        <v>0</v>
      </c>
      <c r="AR82" s="326">
        <f t="shared" si="47"/>
        <v>0</v>
      </c>
      <c r="AS82" s="326">
        <f t="shared" si="47"/>
        <v>0</v>
      </c>
      <c r="AT82" s="326">
        <f t="shared" si="47"/>
        <v>0</v>
      </c>
      <c r="AU82" s="45"/>
      <c r="AV82" s="41"/>
    </row>
    <row r="83" spans="1:48" x14ac:dyDescent="0.3">
      <c r="A83" s="41"/>
      <c r="B83" s="296">
        <f t="shared" si="49"/>
        <v>47</v>
      </c>
      <c r="C83" s="598" t="s">
        <v>450</v>
      </c>
      <c r="D83" s="599"/>
      <c r="E83" s="599"/>
      <c r="F83" s="599"/>
      <c r="G83" s="600"/>
      <c r="H83" s="43"/>
      <c r="I83" s="315" t="s">
        <v>407</v>
      </c>
      <c r="K83" s="44">
        <f>Q83+NPV(RAS,R83:AT83)</f>
        <v>-72149.991275113396</v>
      </c>
      <c r="M83" s="379">
        <v>0.56999999999999995</v>
      </c>
      <c r="N83" s="37">
        <v>0.45</v>
      </c>
      <c r="P83" s="326">
        <f t="shared" si="48"/>
        <v>0</v>
      </c>
      <c r="Q83" s="326">
        <f t="shared" si="48"/>
        <v>-169.16174999999998</v>
      </c>
      <c r="R83" s="326">
        <f t="shared" si="48"/>
        <v>-20371.940016028664</v>
      </c>
      <c r="S83" s="326">
        <f t="shared" si="48"/>
        <v>-36845.329427985904</v>
      </c>
      <c r="T83" s="326">
        <f t="shared" si="48"/>
        <v>-19092.115430658301</v>
      </c>
      <c r="U83" s="326">
        <f t="shared" si="46"/>
        <v>0</v>
      </c>
      <c r="V83" s="326">
        <f t="shared" si="46"/>
        <v>0</v>
      </c>
      <c r="W83" s="326">
        <f t="shared" si="46"/>
        <v>0</v>
      </c>
      <c r="X83" s="326">
        <f t="shared" si="46"/>
        <v>0</v>
      </c>
      <c r="Y83" s="326">
        <f t="shared" si="46"/>
        <v>0</v>
      </c>
      <c r="Z83" s="326">
        <f t="shared" si="46"/>
        <v>0</v>
      </c>
      <c r="AA83" s="326">
        <f t="shared" si="46"/>
        <v>0</v>
      </c>
      <c r="AB83" s="326">
        <f t="shared" si="46"/>
        <v>0</v>
      </c>
      <c r="AC83" s="326">
        <f t="shared" si="46"/>
        <v>0</v>
      </c>
      <c r="AD83" s="326">
        <f t="shared" si="46"/>
        <v>0</v>
      </c>
      <c r="AE83" s="326">
        <f t="shared" si="46"/>
        <v>0</v>
      </c>
      <c r="AF83" s="326">
        <f t="shared" si="46"/>
        <v>0</v>
      </c>
      <c r="AG83" s="326">
        <f t="shared" si="46"/>
        <v>0</v>
      </c>
      <c r="AH83" s="326">
        <f t="shared" si="46"/>
        <v>0</v>
      </c>
      <c r="AI83" s="326">
        <f t="shared" si="46"/>
        <v>0</v>
      </c>
      <c r="AJ83" s="326">
        <f t="shared" si="46"/>
        <v>0</v>
      </c>
      <c r="AK83" s="326">
        <f t="shared" si="47"/>
        <v>0</v>
      </c>
      <c r="AL83" s="326">
        <f t="shared" si="47"/>
        <v>0</v>
      </c>
      <c r="AM83" s="326">
        <f t="shared" si="47"/>
        <v>0</v>
      </c>
      <c r="AN83" s="326">
        <f t="shared" si="47"/>
        <v>0</v>
      </c>
      <c r="AO83" s="326">
        <f t="shared" si="47"/>
        <v>0</v>
      </c>
      <c r="AP83" s="326">
        <f t="shared" si="47"/>
        <v>0</v>
      </c>
      <c r="AQ83" s="326">
        <f t="shared" si="47"/>
        <v>0</v>
      </c>
      <c r="AR83" s="326">
        <f t="shared" si="47"/>
        <v>0</v>
      </c>
      <c r="AS83" s="326">
        <f t="shared" si="47"/>
        <v>0</v>
      </c>
      <c r="AT83" s="326">
        <f t="shared" si="47"/>
        <v>0</v>
      </c>
      <c r="AU83" s="45"/>
      <c r="AV83" s="41"/>
    </row>
    <row r="84" spans="1:48" x14ac:dyDescent="0.3">
      <c r="A84" s="41"/>
      <c r="B84" s="296">
        <f t="shared" si="49"/>
        <v>48</v>
      </c>
      <c r="C84" s="704" t="s">
        <v>451</v>
      </c>
      <c r="D84" s="705"/>
      <c r="E84" s="705"/>
      <c r="F84" s="705"/>
      <c r="G84" s="706"/>
      <c r="H84" s="320"/>
      <c r="I84" s="313" t="s">
        <v>407</v>
      </c>
      <c r="K84" s="380">
        <f>SUM(K80:K83)</f>
        <v>-224044.70974903638</v>
      </c>
      <c r="M84" s="304"/>
      <c r="N84" s="381">
        <f>SUM(N80:N83)</f>
        <v>1</v>
      </c>
      <c r="P84" s="342">
        <f>SUM(P80:P83)</f>
        <v>0</v>
      </c>
      <c r="Q84" s="342">
        <f t="shared" ref="Q84:AI84" si="50">SUM(Q80:Q83)</f>
        <v>-525.29174999999998</v>
      </c>
      <c r="R84" s="342">
        <f t="shared" si="50"/>
        <v>-63260.234786615329</v>
      </c>
      <c r="S84" s="342">
        <f t="shared" si="50"/>
        <v>-114414.44401321938</v>
      </c>
      <c r="T84" s="342">
        <f t="shared" si="50"/>
        <v>-59286.042653096825</v>
      </c>
      <c r="U84" s="342">
        <f t="shared" si="50"/>
        <v>0</v>
      </c>
      <c r="V84" s="342">
        <f t="shared" si="50"/>
        <v>0</v>
      </c>
      <c r="W84" s="342">
        <f t="shared" si="50"/>
        <v>0</v>
      </c>
      <c r="X84" s="342">
        <f t="shared" si="50"/>
        <v>0</v>
      </c>
      <c r="Y84" s="342">
        <f t="shared" si="50"/>
        <v>0</v>
      </c>
      <c r="Z84" s="342">
        <f t="shared" si="50"/>
        <v>0</v>
      </c>
      <c r="AA84" s="342">
        <f t="shared" si="50"/>
        <v>0</v>
      </c>
      <c r="AB84" s="342">
        <f t="shared" si="50"/>
        <v>0</v>
      </c>
      <c r="AC84" s="342">
        <f t="shared" si="50"/>
        <v>0</v>
      </c>
      <c r="AD84" s="342">
        <f t="shared" si="50"/>
        <v>0</v>
      </c>
      <c r="AE84" s="342">
        <f t="shared" si="50"/>
        <v>0</v>
      </c>
      <c r="AF84" s="342">
        <f t="shared" si="50"/>
        <v>0</v>
      </c>
      <c r="AG84" s="342">
        <f t="shared" si="50"/>
        <v>0</v>
      </c>
      <c r="AH84" s="342">
        <f t="shared" si="50"/>
        <v>0</v>
      </c>
      <c r="AI84" s="342">
        <f t="shared" si="50"/>
        <v>0</v>
      </c>
      <c r="AJ84" s="342">
        <f t="shared" ref="AJ84:AT84" si="51">SUM(AJ80:AJ83)</f>
        <v>0</v>
      </c>
      <c r="AK84" s="342">
        <f t="shared" si="51"/>
        <v>0</v>
      </c>
      <c r="AL84" s="342">
        <f t="shared" si="51"/>
        <v>0</v>
      </c>
      <c r="AM84" s="342">
        <f t="shared" si="51"/>
        <v>0</v>
      </c>
      <c r="AN84" s="342">
        <f t="shared" si="51"/>
        <v>0</v>
      </c>
      <c r="AO84" s="342">
        <f t="shared" si="51"/>
        <v>0</v>
      </c>
      <c r="AP84" s="342">
        <f t="shared" si="51"/>
        <v>0</v>
      </c>
      <c r="AQ84" s="342">
        <f t="shared" si="51"/>
        <v>0</v>
      </c>
      <c r="AR84" s="342">
        <f t="shared" si="51"/>
        <v>0</v>
      </c>
      <c r="AS84" s="342">
        <f t="shared" si="51"/>
        <v>0</v>
      </c>
      <c r="AT84" s="342">
        <f t="shared" si="51"/>
        <v>0</v>
      </c>
      <c r="AU84" s="582"/>
      <c r="AV84" s="41"/>
    </row>
    <row r="85" spans="1:48" x14ac:dyDescent="0.3">
      <c r="A85" s="41"/>
      <c r="C85" s="703"/>
      <c r="D85" s="703"/>
      <c r="E85" s="703"/>
      <c r="F85" s="703"/>
      <c r="G85" s="703"/>
      <c r="H85" s="703"/>
      <c r="K85" s="382"/>
      <c r="M85" s="43"/>
      <c r="N85" s="43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1"/>
    </row>
    <row r="86" spans="1:48" ht="11.25" customHeight="1" x14ac:dyDescent="0.3">
      <c r="A86" s="41"/>
      <c r="C86" s="699" t="s">
        <v>452</v>
      </c>
      <c r="D86" s="699"/>
      <c r="E86" s="699"/>
      <c r="F86" s="699"/>
      <c r="G86" s="699"/>
      <c r="H86" s="383"/>
      <c r="K86" s="353" t="str">
        <f>"NPV @ "&amp;TEXT(RAS,"0,0%")</f>
        <v>NPV @ 3,0%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1"/>
    </row>
    <row r="87" spans="1:48" x14ac:dyDescent="0.3">
      <c r="A87" s="41"/>
      <c r="B87" s="296">
        <f>B84+1</f>
        <v>49</v>
      </c>
      <c r="C87" s="598" t="s">
        <v>447</v>
      </c>
      <c r="D87" s="599"/>
      <c r="E87" s="599"/>
      <c r="F87" s="599"/>
      <c r="G87" s="600"/>
      <c r="H87" s="43"/>
      <c r="I87" s="315" t="s">
        <v>407</v>
      </c>
      <c r="K87" s="44">
        <f>Q87+NPV(RAS,R87:AT87)</f>
        <v>69919.119138432507</v>
      </c>
      <c r="M87" s="377">
        <v>1</v>
      </c>
      <c r="N87" s="37">
        <v>0.3</v>
      </c>
      <c r="P87" s="326">
        <f>P$11*$M87*$N87</f>
        <v>0</v>
      </c>
      <c r="Q87" s="326">
        <f t="shared" ref="Q87:AK90" si="52">Q$11*$M87*$N87</f>
        <v>0</v>
      </c>
      <c r="R87" s="326">
        <f t="shared" si="52"/>
        <v>0</v>
      </c>
      <c r="S87" s="326">
        <f t="shared" si="52"/>
        <v>419.46984483024568</v>
      </c>
      <c r="T87" s="326">
        <f t="shared" si="52"/>
        <v>1119.6656096616846</v>
      </c>
      <c r="U87" s="326">
        <f t="shared" si="52"/>
        <v>1917.3214510952739</v>
      </c>
      <c r="V87" s="326">
        <f t="shared" si="52"/>
        <v>1892.4332320553731</v>
      </c>
      <c r="W87" s="326">
        <f t="shared" si="52"/>
        <v>1870.5313575608307</v>
      </c>
      <c r="X87" s="326">
        <f t="shared" si="52"/>
        <v>1851.0919691009622</v>
      </c>
      <c r="Y87" s="326">
        <f t="shared" si="52"/>
        <v>1845.5814835939475</v>
      </c>
      <c r="Z87" s="326">
        <f t="shared" si="52"/>
        <v>1842.3603212405658</v>
      </c>
      <c r="AA87" s="326">
        <f t="shared" si="52"/>
        <v>1841.7804353448453</v>
      </c>
      <c r="AB87" s="326">
        <f t="shared" si="52"/>
        <v>1844.1929936446832</v>
      </c>
      <c r="AC87" s="326">
        <f t="shared" si="52"/>
        <v>1849.4183814871139</v>
      </c>
      <c r="AD87" s="326">
        <f t="shared" si="52"/>
        <v>1860.9398612853256</v>
      </c>
      <c r="AE87" s="326">
        <f t="shared" si="52"/>
        <v>1875.4651782221945</v>
      </c>
      <c r="AF87" s="326">
        <f t="shared" si="52"/>
        <v>1893.1027806826305</v>
      </c>
      <c r="AG87" s="326">
        <f t="shared" si="52"/>
        <v>1913.9673069498995</v>
      </c>
      <c r="AH87" s="326">
        <f t="shared" si="52"/>
        <v>1938.1798827995779</v>
      </c>
      <c r="AI87" s="326">
        <f t="shared" si="52"/>
        <v>1965.8684341709215</v>
      </c>
      <c r="AJ87" s="326">
        <f t="shared" si="52"/>
        <v>1997.1680156665154</v>
      </c>
      <c r="AK87" s="326">
        <f t="shared" si="52"/>
        <v>3966.0720138846809</v>
      </c>
      <c r="AL87" s="326">
        <f t="shared" ref="AK87:AT90" si="53">AL$11*$M87*$N87</f>
        <v>5307.921768691147</v>
      </c>
      <c r="AM87" s="326">
        <f t="shared" si="53"/>
        <v>6645.0459286635041</v>
      </c>
      <c r="AN87" s="326">
        <f t="shared" si="53"/>
        <v>7977.4199448126919</v>
      </c>
      <c r="AO87" s="326">
        <f t="shared" si="53"/>
        <v>9305.3552189011189</v>
      </c>
      <c r="AP87" s="326">
        <f t="shared" si="53"/>
        <v>10629.170776863131</v>
      </c>
      <c r="AQ87" s="326">
        <f t="shared" si="53"/>
        <v>11949.193756317749</v>
      </c>
      <c r="AR87" s="326">
        <f t="shared" si="53"/>
        <v>13265.759917143389</v>
      </c>
      <c r="AS87" s="326">
        <f t="shared" si="53"/>
        <v>14579.214176283678</v>
      </c>
      <c r="AT87" s="326">
        <f t="shared" si="53"/>
        <v>15889.9111680114</v>
      </c>
      <c r="AU87" s="45"/>
      <c r="AV87" s="41"/>
    </row>
    <row r="88" spans="1:48" x14ac:dyDescent="0.3">
      <c r="A88" s="41"/>
      <c r="B88" s="296">
        <f>B87+1</f>
        <v>50</v>
      </c>
      <c r="C88" s="598" t="s">
        <v>448</v>
      </c>
      <c r="D88" s="599"/>
      <c r="E88" s="599"/>
      <c r="F88" s="599"/>
      <c r="G88" s="600"/>
      <c r="H88" s="43"/>
      <c r="I88" s="315" t="s">
        <v>407</v>
      </c>
      <c r="K88" s="44">
        <f>Q88+NPV(RAS,R88:AT88)</f>
        <v>20975.735741529759</v>
      </c>
      <c r="M88" s="378">
        <v>0.9</v>
      </c>
      <c r="N88" s="37">
        <v>0.1</v>
      </c>
      <c r="P88" s="326">
        <f t="shared" ref="P88:AE90" si="54">P$11*$M88*$N88</f>
        <v>0</v>
      </c>
      <c r="Q88" s="326">
        <f t="shared" si="54"/>
        <v>0</v>
      </c>
      <c r="R88" s="326">
        <f t="shared" si="54"/>
        <v>0</v>
      </c>
      <c r="S88" s="326">
        <f t="shared" si="54"/>
        <v>125.84095344907371</v>
      </c>
      <c r="T88" s="326">
        <f t="shared" si="54"/>
        <v>335.89968289850549</v>
      </c>
      <c r="U88" s="326">
        <f t="shared" si="54"/>
        <v>575.19643532858231</v>
      </c>
      <c r="V88" s="326">
        <f t="shared" si="54"/>
        <v>567.72996961661192</v>
      </c>
      <c r="W88" s="326">
        <f t="shared" si="54"/>
        <v>561.1594072682492</v>
      </c>
      <c r="X88" s="326">
        <f t="shared" si="54"/>
        <v>555.32759073028865</v>
      </c>
      <c r="Y88" s="326">
        <f t="shared" si="54"/>
        <v>553.67444507818425</v>
      </c>
      <c r="Z88" s="326">
        <f t="shared" si="54"/>
        <v>552.70809637216985</v>
      </c>
      <c r="AA88" s="326">
        <f t="shared" si="54"/>
        <v>552.53413060345372</v>
      </c>
      <c r="AB88" s="326">
        <f t="shared" si="54"/>
        <v>553.25789809340495</v>
      </c>
      <c r="AC88" s="326">
        <f t="shared" si="54"/>
        <v>554.82551444613421</v>
      </c>
      <c r="AD88" s="326">
        <f t="shared" si="54"/>
        <v>558.2819583855977</v>
      </c>
      <c r="AE88" s="326">
        <f t="shared" si="54"/>
        <v>562.63955346665841</v>
      </c>
      <c r="AF88" s="326">
        <f t="shared" si="52"/>
        <v>567.93083420478922</v>
      </c>
      <c r="AG88" s="326">
        <f t="shared" si="52"/>
        <v>574.19019208496991</v>
      </c>
      <c r="AH88" s="326">
        <f t="shared" si="52"/>
        <v>581.45396483987349</v>
      </c>
      <c r="AI88" s="326">
        <f t="shared" si="52"/>
        <v>589.76053025127646</v>
      </c>
      <c r="AJ88" s="326">
        <f t="shared" si="52"/>
        <v>599.15040469995472</v>
      </c>
      <c r="AK88" s="326">
        <f t="shared" si="53"/>
        <v>1189.8216041654043</v>
      </c>
      <c r="AL88" s="326">
        <f t="shared" si="53"/>
        <v>1592.3765306073442</v>
      </c>
      <c r="AM88" s="326">
        <f t="shared" si="53"/>
        <v>1993.5137785990516</v>
      </c>
      <c r="AN88" s="326">
        <f t="shared" si="53"/>
        <v>2393.2259834438078</v>
      </c>
      <c r="AO88" s="326">
        <f t="shared" si="53"/>
        <v>2791.6065656703358</v>
      </c>
      <c r="AP88" s="326">
        <f t="shared" si="53"/>
        <v>3188.7512330589398</v>
      </c>
      <c r="AQ88" s="326">
        <f t="shared" si="53"/>
        <v>3584.7581268953249</v>
      </c>
      <c r="AR88" s="326">
        <f t="shared" si="53"/>
        <v>3979.7279751430174</v>
      </c>
      <c r="AS88" s="326">
        <f t="shared" si="53"/>
        <v>4373.7642528851038</v>
      </c>
      <c r="AT88" s="326">
        <f t="shared" si="53"/>
        <v>4766.9733504034211</v>
      </c>
      <c r="AU88" s="45"/>
      <c r="AV88" s="41"/>
    </row>
    <row r="89" spans="1:48" x14ac:dyDescent="0.3">
      <c r="A89" s="41"/>
      <c r="B89" s="296">
        <f t="shared" ref="B89:B91" si="55">B88+1</f>
        <v>51</v>
      </c>
      <c r="C89" s="598" t="s">
        <v>449</v>
      </c>
      <c r="D89" s="599"/>
      <c r="E89" s="599"/>
      <c r="F89" s="599"/>
      <c r="G89" s="600"/>
      <c r="H89" s="43"/>
      <c r="I89" s="315" t="s">
        <v>407</v>
      </c>
      <c r="K89" s="44">
        <f>Q89+NPV(RAS,R89:AT89)</f>
        <v>34959.559569216253</v>
      </c>
      <c r="M89" s="377">
        <v>1</v>
      </c>
      <c r="N89" s="37">
        <v>0.15</v>
      </c>
      <c r="P89" s="326">
        <f t="shared" si="54"/>
        <v>0</v>
      </c>
      <c r="Q89" s="326">
        <f t="shared" si="52"/>
        <v>0</v>
      </c>
      <c r="R89" s="326">
        <f t="shared" si="52"/>
        <v>0</v>
      </c>
      <c r="S89" s="326">
        <f t="shared" si="52"/>
        <v>209.73492241512284</v>
      </c>
      <c r="T89" s="326">
        <f t="shared" si="52"/>
        <v>559.83280483084229</v>
      </c>
      <c r="U89" s="326">
        <f t="shared" si="52"/>
        <v>958.66072554763696</v>
      </c>
      <c r="V89" s="326">
        <f t="shared" si="52"/>
        <v>946.21661602768654</v>
      </c>
      <c r="W89" s="326">
        <f t="shared" si="52"/>
        <v>935.26567878041533</v>
      </c>
      <c r="X89" s="326">
        <f t="shared" si="52"/>
        <v>925.54598455048108</v>
      </c>
      <c r="Y89" s="326">
        <f t="shared" si="52"/>
        <v>922.79074179697375</v>
      </c>
      <c r="Z89" s="326">
        <f t="shared" si="52"/>
        <v>921.18016062028289</v>
      </c>
      <c r="AA89" s="326">
        <f t="shared" si="52"/>
        <v>920.89021767242264</v>
      </c>
      <c r="AB89" s="326">
        <f t="shared" si="52"/>
        <v>922.09649682234158</v>
      </c>
      <c r="AC89" s="326">
        <f t="shared" si="52"/>
        <v>924.70919074355697</v>
      </c>
      <c r="AD89" s="326">
        <f t="shared" si="52"/>
        <v>930.4699306426628</v>
      </c>
      <c r="AE89" s="326">
        <f t="shared" si="52"/>
        <v>937.73258911109724</v>
      </c>
      <c r="AF89" s="326">
        <f t="shared" si="52"/>
        <v>946.55139034131525</v>
      </c>
      <c r="AG89" s="326">
        <f t="shared" si="52"/>
        <v>956.98365347494973</v>
      </c>
      <c r="AH89" s="326">
        <f t="shared" si="52"/>
        <v>969.08994139978893</v>
      </c>
      <c r="AI89" s="326">
        <f t="shared" si="52"/>
        <v>982.93421708546077</v>
      </c>
      <c r="AJ89" s="326">
        <f t="shared" si="52"/>
        <v>998.58400783325771</v>
      </c>
      <c r="AK89" s="326">
        <f t="shared" si="53"/>
        <v>1983.0360069423405</v>
      </c>
      <c r="AL89" s="326">
        <f t="shared" si="53"/>
        <v>2653.9608843455735</v>
      </c>
      <c r="AM89" s="326">
        <f t="shared" si="53"/>
        <v>3322.5229643317521</v>
      </c>
      <c r="AN89" s="326">
        <f t="shared" si="53"/>
        <v>3988.709972406346</v>
      </c>
      <c r="AO89" s="326">
        <f t="shared" si="53"/>
        <v>4652.6776094505594</v>
      </c>
      <c r="AP89" s="326">
        <f t="shared" si="53"/>
        <v>5314.5853884315657</v>
      </c>
      <c r="AQ89" s="326">
        <f t="shared" si="53"/>
        <v>5974.5968781588745</v>
      </c>
      <c r="AR89" s="326">
        <f t="shared" si="53"/>
        <v>6632.8799585716943</v>
      </c>
      <c r="AS89" s="326">
        <f t="shared" si="53"/>
        <v>7289.6070881418391</v>
      </c>
      <c r="AT89" s="326">
        <f t="shared" si="53"/>
        <v>7944.9555840057001</v>
      </c>
      <c r="AU89" s="45"/>
      <c r="AV89" s="41"/>
    </row>
    <row r="90" spans="1:48" x14ac:dyDescent="0.3">
      <c r="A90" s="41"/>
      <c r="B90" s="296">
        <f t="shared" si="55"/>
        <v>52</v>
      </c>
      <c r="C90" s="598" t="s">
        <v>450</v>
      </c>
      <c r="D90" s="599"/>
      <c r="E90" s="599"/>
      <c r="F90" s="599"/>
      <c r="G90" s="600"/>
      <c r="H90" s="43"/>
      <c r="I90" s="315" t="s">
        <v>407</v>
      </c>
      <c r="K90" s="44">
        <f>Q90+NPV(RAS,R90:AT90)</f>
        <v>59780.84686335981</v>
      </c>
      <c r="M90" s="379">
        <v>0.56999999999999995</v>
      </c>
      <c r="N90" s="37">
        <v>0.45</v>
      </c>
      <c r="P90" s="326">
        <f t="shared" si="54"/>
        <v>0</v>
      </c>
      <c r="Q90" s="326">
        <f t="shared" si="52"/>
        <v>0</v>
      </c>
      <c r="R90" s="326">
        <f t="shared" si="52"/>
        <v>0</v>
      </c>
      <c r="S90" s="326">
        <f t="shared" si="52"/>
        <v>358.64671732986005</v>
      </c>
      <c r="T90" s="326">
        <f t="shared" si="52"/>
        <v>957.31409626074037</v>
      </c>
      <c r="U90" s="326">
        <f t="shared" si="52"/>
        <v>1639.3098406864592</v>
      </c>
      <c r="V90" s="326">
        <f t="shared" si="52"/>
        <v>1618.0304134073438</v>
      </c>
      <c r="W90" s="326">
        <f t="shared" si="52"/>
        <v>1599.3043107145099</v>
      </c>
      <c r="X90" s="326">
        <f t="shared" si="52"/>
        <v>1582.6836335813225</v>
      </c>
      <c r="Y90" s="326">
        <f t="shared" si="52"/>
        <v>1577.9721684728252</v>
      </c>
      <c r="Z90" s="326">
        <f t="shared" si="52"/>
        <v>1575.2180746606837</v>
      </c>
      <c r="AA90" s="326">
        <f t="shared" si="52"/>
        <v>1574.7222722198426</v>
      </c>
      <c r="AB90" s="326">
        <f t="shared" si="52"/>
        <v>1576.7850095662038</v>
      </c>
      <c r="AC90" s="326">
        <f t="shared" si="52"/>
        <v>1581.2527161714822</v>
      </c>
      <c r="AD90" s="326">
        <f t="shared" si="52"/>
        <v>1591.1035813989533</v>
      </c>
      <c r="AE90" s="326">
        <f t="shared" si="52"/>
        <v>1603.5227273799765</v>
      </c>
      <c r="AF90" s="326">
        <f t="shared" si="52"/>
        <v>1618.6028774836491</v>
      </c>
      <c r="AG90" s="326">
        <f t="shared" si="52"/>
        <v>1636.442047442164</v>
      </c>
      <c r="AH90" s="326">
        <f t="shared" si="52"/>
        <v>1657.1437997936389</v>
      </c>
      <c r="AI90" s="326">
        <f t="shared" si="52"/>
        <v>1680.817511216138</v>
      </c>
      <c r="AJ90" s="326">
        <f t="shared" si="52"/>
        <v>1707.5786533948708</v>
      </c>
      <c r="AK90" s="326">
        <f t="shared" si="53"/>
        <v>3390.9915718714019</v>
      </c>
      <c r="AL90" s="326">
        <f t="shared" si="53"/>
        <v>4538.2731122309306</v>
      </c>
      <c r="AM90" s="326">
        <f t="shared" si="53"/>
        <v>5681.5142690072962</v>
      </c>
      <c r="AN90" s="326">
        <f t="shared" si="53"/>
        <v>6820.6940528148516</v>
      </c>
      <c r="AO90" s="326">
        <f t="shared" si="53"/>
        <v>7956.0787121604562</v>
      </c>
      <c r="AP90" s="326">
        <f t="shared" si="53"/>
        <v>9087.9410142179768</v>
      </c>
      <c r="AQ90" s="326">
        <f t="shared" si="53"/>
        <v>10216.560661651674</v>
      </c>
      <c r="AR90" s="326">
        <f t="shared" si="53"/>
        <v>11342.224729157597</v>
      </c>
      <c r="AS90" s="326">
        <f t="shared" si="53"/>
        <v>12465.228120722546</v>
      </c>
      <c r="AT90" s="326">
        <f t="shared" si="53"/>
        <v>13585.874048649748</v>
      </c>
      <c r="AU90" s="45"/>
      <c r="AV90" s="41"/>
    </row>
    <row r="91" spans="1:48" x14ac:dyDescent="0.3">
      <c r="A91" s="41"/>
      <c r="B91" s="296">
        <f t="shared" si="55"/>
        <v>53</v>
      </c>
      <c r="C91" s="704" t="s">
        <v>451</v>
      </c>
      <c r="D91" s="705"/>
      <c r="E91" s="705"/>
      <c r="F91" s="705"/>
      <c r="G91" s="706"/>
      <c r="H91" s="320"/>
      <c r="I91" s="313" t="s">
        <v>407</v>
      </c>
      <c r="K91" s="380">
        <f>SUM(K87:K90)</f>
        <v>185635.26131253835</v>
      </c>
      <c r="M91" s="304"/>
      <c r="N91" s="381">
        <f>SUM(N87:N90)</f>
        <v>1</v>
      </c>
      <c r="P91" s="342">
        <f>SUM(P87:P90)</f>
        <v>0</v>
      </c>
      <c r="Q91" s="342">
        <f t="shared" ref="Q91:AI91" si="56">SUM(Q87:Q90)</f>
        <v>0</v>
      </c>
      <c r="R91" s="342">
        <f t="shared" si="56"/>
        <v>0</v>
      </c>
      <c r="S91" s="342">
        <f t="shared" si="56"/>
        <v>1113.6924380243022</v>
      </c>
      <c r="T91" s="342">
        <f t="shared" si="56"/>
        <v>2972.7121936517728</v>
      </c>
      <c r="U91" s="342">
        <f t="shared" si="56"/>
        <v>5090.4884526579517</v>
      </c>
      <c r="V91" s="342">
        <f t="shared" si="56"/>
        <v>5024.4102311070155</v>
      </c>
      <c r="W91" s="342">
        <f t="shared" si="56"/>
        <v>4966.2607543240047</v>
      </c>
      <c r="X91" s="342">
        <f t="shared" si="56"/>
        <v>4914.6491779630542</v>
      </c>
      <c r="Y91" s="342">
        <f t="shared" si="56"/>
        <v>4900.0188389419309</v>
      </c>
      <c r="Z91" s="342">
        <f t="shared" si="56"/>
        <v>4891.4666528937023</v>
      </c>
      <c r="AA91" s="342">
        <f t="shared" si="56"/>
        <v>4889.9270558405642</v>
      </c>
      <c r="AB91" s="342">
        <f t="shared" si="56"/>
        <v>4896.3323981266331</v>
      </c>
      <c r="AC91" s="342">
        <f t="shared" si="56"/>
        <v>4910.205802848287</v>
      </c>
      <c r="AD91" s="342">
        <f t="shared" si="56"/>
        <v>4940.7953317125393</v>
      </c>
      <c r="AE91" s="342">
        <f t="shared" si="56"/>
        <v>4979.3600481799267</v>
      </c>
      <c r="AF91" s="342">
        <f t="shared" si="56"/>
        <v>5026.1878827123837</v>
      </c>
      <c r="AG91" s="342">
        <f t="shared" si="56"/>
        <v>5081.5831999519833</v>
      </c>
      <c r="AH91" s="342">
        <f t="shared" si="56"/>
        <v>5145.8675888328789</v>
      </c>
      <c r="AI91" s="342">
        <f t="shared" si="56"/>
        <v>5219.3806927237965</v>
      </c>
      <c r="AJ91" s="342">
        <f t="shared" ref="AJ91:AT91" si="57">SUM(AJ87:AJ90)</f>
        <v>5302.4810815945984</v>
      </c>
      <c r="AK91" s="342">
        <f t="shared" si="57"/>
        <v>10529.921196863826</v>
      </c>
      <c r="AL91" s="342">
        <f t="shared" si="57"/>
        <v>14092.532295874995</v>
      </c>
      <c r="AM91" s="342">
        <f t="shared" si="57"/>
        <v>17642.596940601605</v>
      </c>
      <c r="AN91" s="342">
        <f t="shared" si="57"/>
        <v>21180.049953477697</v>
      </c>
      <c r="AO91" s="342">
        <f t="shared" si="57"/>
        <v>24705.71810618247</v>
      </c>
      <c r="AP91" s="342">
        <f t="shared" si="57"/>
        <v>28220.448412571612</v>
      </c>
      <c r="AQ91" s="342">
        <f t="shared" si="57"/>
        <v>31725.109423023623</v>
      </c>
      <c r="AR91" s="342">
        <f t="shared" si="57"/>
        <v>35220.592580015698</v>
      </c>
      <c r="AS91" s="342">
        <f t="shared" si="57"/>
        <v>38707.813638033171</v>
      </c>
      <c r="AT91" s="342">
        <f t="shared" si="57"/>
        <v>42187.714151070271</v>
      </c>
      <c r="AU91" s="582"/>
      <c r="AV91" s="41"/>
    </row>
    <row r="92" spans="1:48" x14ac:dyDescent="0.3">
      <c r="A92" s="41"/>
      <c r="C92" s="702"/>
      <c r="D92" s="702"/>
      <c r="E92" s="702"/>
      <c r="F92" s="702"/>
      <c r="G92" s="702"/>
      <c r="H92" s="703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1"/>
    </row>
    <row r="93" spans="1:48" x14ac:dyDescent="0.3">
      <c r="A93" s="41"/>
      <c r="B93" s="296">
        <f>B91+1</f>
        <v>54</v>
      </c>
      <c r="C93" s="701" t="s">
        <v>453</v>
      </c>
      <c r="D93" s="701"/>
      <c r="E93" s="701"/>
      <c r="F93" s="701"/>
      <c r="G93" s="701"/>
      <c r="H93" s="320"/>
      <c r="I93" s="315" t="s">
        <v>407</v>
      </c>
      <c r="P93" s="342">
        <f t="shared" ref="P93:AI93" si="58">P77+P84+P91</f>
        <v>0</v>
      </c>
      <c r="Q93" s="342">
        <f t="shared" si="58"/>
        <v>-525.29174999999998</v>
      </c>
      <c r="R93" s="342">
        <f t="shared" si="58"/>
        <v>-63260.234786615329</v>
      </c>
      <c r="S93" s="342">
        <f t="shared" si="58"/>
        <v>-112671.5643914262</v>
      </c>
      <c r="T93" s="342">
        <f t="shared" si="58"/>
        <v>-54488.115242617183</v>
      </c>
      <c r="U93" s="342">
        <f t="shared" si="58"/>
        <v>8337.0082835022222</v>
      </c>
      <c r="V93" s="342">
        <f t="shared" si="58"/>
        <v>8386.6742289964695</v>
      </c>
      <c r="W93" s="342">
        <f t="shared" si="58"/>
        <v>8444.8980622168347</v>
      </c>
      <c r="X93" s="342">
        <f t="shared" si="58"/>
        <v>8603.2143301904835</v>
      </c>
      <c r="Y93" s="342">
        <f t="shared" si="58"/>
        <v>8799.116899252198</v>
      </c>
      <c r="Z93" s="342">
        <f t="shared" si="58"/>
        <v>9001.6909837391759</v>
      </c>
      <c r="AA93" s="342">
        <f t="shared" si="58"/>
        <v>9211.8595383059364</v>
      </c>
      <c r="AB93" s="342">
        <f t="shared" si="58"/>
        <v>9430.5436477468138</v>
      </c>
      <c r="AC93" s="342">
        <f t="shared" si="58"/>
        <v>9648.8065136499572</v>
      </c>
      <c r="AD93" s="342">
        <f t="shared" si="58"/>
        <v>9884.3342195257283</v>
      </c>
      <c r="AE93" s="342">
        <f t="shared" si="58"/>
        <v>10128.375186836933</v>
      </c>
      <c r="AF93" s="342">
        <f t="shared" si="58"/>
        <v>10381.206904177565</v>
      </c>
      <c r="AG93" s="342">
        <f t="shared" si="58"/>
        <v>10643.123490710883</v>
      </c>
      <c r="AH93" s="342">
        <f t="shared" si="58"/>
        <v>10914.43648261045</v>
      </c>
      <c r="AI93" s="342">
        <f t="shared" si="58"/>
        <v>11195.475659600304</v>
      </c>
      <c r="AJ93" s="342">
        <f t="shared" ref="AJ93:AT93" si="59">AJ77+AJ84+AJ91</f>
        <v>11486.589913586424</v>
      </c>
      <c r="AK93" s="342">
        <f t="shared" si="59"/>
        <v>16918.830053823331</v>
      </c>
      <c r="AL93" s="342">
        <f t="shared" si="59"/>
        <v>20686.337842871602</v>
      </c>
      <c r="AM93" s="342">
        <f t="shared" si="59"/>
        <v>24449.843061151965</v>
      </c>
      <c r="AN93" s="342">
        <f t="shared" si="59"/>
        <v>28200.830027139866</v>
      </c>
      <c r="AO93" s="342">
        <f t="shared" si="59"/>
        <v>31940.123889230548</v>
      </c>
      <c r="AP93" s="342">
        <f t="shared" si="59"/>
        <v>35668.570050781156</v>
      </c>
      <c r="AQ93" s="342">
        <f t="shared" si="59"/>
        <v>39387.035464311928</v>
      </c>
      <c r="AR93" s="342">
        <f t="shared" si="59"/>
        <v>42859.841690140922</v>
      </c>
      <c r="AS93" s="342">
        <f t="shared" si="59"/>
        <v>46324.47120654348</v>
      </c>
      <c r="AT93" s="342">
        <f t="shared" si="59"/>
        <v>49781.864006719537</v>
      </c>
      <c r="AU93" s="582"/>
      <c r="AV93" s="41"/>
    </row>
    <row r="94" spans="1:48" x14ac:dyDescent="0.3">
      <c r="A94" s="41"/>
      <c r="C94" s="702"/>
      <c r="D94" s="702"/>
      <c r="E94" s="702"/>
      <c r="F94" s="702"/>
      <c r="G94" s="702"/>
      <c r="H94" s="703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V94" s="41"/>
    </row>
    <row r="95" spans="1:48" x14ac:dyDescent="0.3">
      <c r="A95" s="41"/>
      <c r="B95" s="296">
        <f>B93+1</f>
        <v>55</v>
      </c>
      <c r="C95" s="682" t="s">
        <v>454</v>
      </c>
      <c r="D95" s="682"/>
      <c r="E95" s="682"/>
      <c r="F95" s="682"/>
      <c r="G95" s="682"/>
      <c r="H95" s="43"/>
      <c r="I95" s="313" t="s">
        <v>15</v>
      </c>
      <c r="J95" s="302"/>
      <c r="K95" s="366">
        <f>IRR(Q93:AT93)</f>
        <v>4.2557021343134771E-2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V95" s="41"/>
    </row>
    <row r="96" spans="1:48" x14ac:dyDescent="0.3">
      <c r="A96" s="41"/>
      <c r="B96" s="296">
        <f>B95+1</f>
        <v>56</v>
      </c>
      <c r="C96" s="682" t="s">
        <v>455</v>
      </c>
      <c r="D96" s="682"/>
      <c r="E96" s="682"/>
      <c r="F96" s="682"/>
      <c r="G96" s="682"/>
      <c r="H96" s="43"/>
      <c r="I96" s="313" t="s">
        <v>417</v>
      </c>
      <c r="J96" s="302"/>
      <c r="K96" s="367">
        <f>Q93+NPV(RAS,'8.IRR+FG'!R93:AT93)</f>
        <v>50646.438580596579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V96" s="41"/>
    </row>
    <row r="97" spans="1:48" x14ac:dyDescent="0.3">
      <c r="A97" s="41"/>
      <c r="B97" s="296">
        <f>B96+1</f>
        <v>57</v>
      </c>
      <c r="C97" s="682" t="s">
        <v>499</v>
      </c>
      <c r="D97" s="682"/>
      <c r="E97" s="682"/>
      <c r="F97" s="682"/>
      <c r="G97" s="682"/>
      <c r="I97" s="309"/>
      <c r="K97" s="384">
        <f>(K77+K91)/-K84</f>
        <v>1.226055052303302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V97" s="41"/>
    </row>
    <row r="98" spans="1:48" x14ac:dyDescent="0.3">
      <c r="A98" s="41"/>
      <c r="AV98" s="41"/>
    </row>
    <row r="99" spans="1:48" x14ac:dyDescent="0.3">
      <c r="A99" s="41"/>
      <c r="B99" s="41"/>
      <c r="C99" s="237"/>
      <c r="D99" s="237"/>
      <c r="E99" s="237"/>
      <c r="F99" s="237"/>
      <c r="G99" s="237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</row>
  </sheetData>
  <sheetProtection algorithmName="SHA-512" hashValue="AD6AebTOxFHKr7jhjXGFyfAGdN2hGQfO8VY3H4yL/O75uVA+1raNTDNrqgNo5qYfRiw6ID+b/z29LDn5EftWTQ==" saltValue="2KVILIgM40GpljjRK4pC0A==" spinCount="100000" sheet="1" objects="1" scenarios="1"/>
  <mergeCells count="77">
    <mergeCell ref="C76:G76"/>
    <mergeCell ref="C63:G63"/>
    <mergeCell ref="C64:G64"/>
    <mergeCell ref="C65:G65"/>
    <mergeCell ref="C67:G67"/>
    <mergeCell ref="C68:G68"/>
    <mergeCell ref="C69:G69"/>
    <mergeCell ref="C54:G54"/>
    <mergeCell ref="C55:G55"/>
    <mergeCell ref="C60:G60"/>
    <mergeCell ref="C61:G61"/>
    <mergeCell ref="C62:G62"/>
    <mergeCell ref="C47:G47"/>
    <mergeCell ref="C48:G48"/>
    <mergeCell ref="C50:G50"/>
    <mergeCell ref="C52:G52"/>
    <mergeCell ref="C53:G53"/>
    <mergeCell ref="C51:G51"/>
    <mergeCell ref="C30:G30"/>
    <mergeCell ref="C31:G31"/>
    <mergeCell ref="C33:G33"/>
    <mergeCell ref="C35:G35"/>
    <mergeCell ref="C27:H27"/>
    <mergeCell ref="C29:G29"/>
    <mergeCell ref="C24:G24"/>
    <mergeCell ref="C11:G11"/>
    <mergeCell ref="C12:G12"/>
    <mergeCell ref="C15:G15"/>
    <mergeCell ref="C17:G17"/>
    <mergeCell ref="C18:G18"/>
    <mergeCell ref="C19:G19"/>
    <mergeCell ref="C20:G20"/>
    <mergeCell ref="C21:G21"/>
    <mergeCell ref="C22:G22"/>
    <mergeCell ref="C13:G13"/>
    <mergeCell ref="D3:I3"/>
    <mergeCell ref="D4:I4"/>
    <mergeCell ref="C8:H8"/>
    <mergeCell ref="C10:G10"/>
    <mergeCell ref="Q3:AT3"/>
    <mergeCell ref="C85:H85"/>
    <mergeCell ref="C84:G84"/>
    <mergeCell ref="C78:H78"/>
    <mergeCell ref="C71:H71"/>
    <mergeCell ref="C32:G32"/>
    <mergeCell ref="C56:G56"/>
    <mergeCell ref="C58:G58"/>
    <mergeCell ref="C59:G59"/>
    <mergeCell ref="C36:G36"/>
    <mergeCell ref="C37:G37"/>
    <mergeCell ref="C38:G38"/>
    <mergeCell ref="C39:G39"/>
    <mergeCell ref="C40:G40"/>
    <mergeCell ref="C43:H43"/>
    <mergeCell ref="C45:G45"/>
    <mergeCell ref="C46:G46"/>
    <mergeCell ref="C87:G87"/>
    <mergeCell ref="C88:G88"/>
    <mergeCell ref="C89:G89"/>
    <mergeCell ref="C90:G90"/>
    <mergeCell ref="C91:G91"/>
    <mergeCell ref="C97:G97"/>
    <mergeCell ref="C79:G79"/>
    <mergeCell ref="C73:G73"/>
    <mergeCell ref="C86:G86"/>
    <mergeCell ref="C95:G95"/>
    <mergeCell ref="C96:G96"/>
    <mergeCell ref="C74:G74"/>
    <mergeCell ref="C75:G75"/>
    <mergeCell ref="C77:G77"/>
    <mergeCell ref="C80:G80"/>
    <mergeCell ref="C81:G81"/>
    <mergeCell ref="C82:G82"/>
    <mergeCell ref="C83:G83"/>
    <mergeCell ref="C92:H92"/>
    <mergeCell ref="C94:H94"/>
    <mergeCell ref="C93:G93"/>
  </mergeCells>
  <phoneticPr fontId="10" type="noConversion"/>
  <pageMargins left="0.7" right="0.7" top="0.75" bottom="0.75" header="0.3" footer="0.3"/>
  <pageSetup paperSize="9" scale="2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F5DA-5B0E-44F8-8F11-79AFF85EC016}">
  <dimension ref="A2:I28"/>
  <sheetViews>
    <sheetView zoomScale="76" zoomScaleNormal="76" workbookViewId="0">
      <selection activeCell="F7" sqref="F7"/>
    </sheetView>
  </sheetViews>
  <sheetFormatPr defaultColWidth="9.140625" defaultRowHeight="13.5" x14ac:dyDescent="0.25"/>
  <cols>
    <col min="1" max="1" width="1.85546875" style="43" customWidth="1"/>
    <col min="2" max="2" width="4" style="43" customWidth="1"/>
    <col min="3" max="3" width="46.140625" style="43" customWidth="1"/>
    <col min="4" max="4" width="29.5703125" style="43" customWidth="1"/>
    <col min="5" max="5" width="21.28515625" style="43" customWidth="1"/>
    <col min="6" max="6" width="21.85546875" style="43" customWidth="1"/>
    <col min="7" max="7" width="14.42578125" style="43" customWidth="1"/>
    <col min="8" max="8" width="18.5703125" style="43" customWidth="1"/>
    <col min="9" max="9" width="4.7109375" style="43" customWidth="1"/>
    <col min="10" max="16384" width="9.140625" style="43"/>
  </cols>
  <sheetData>
    <row r="2" spans="1:9" ht="21.75" customHeight="1" thickBot="1" x14ac:dyDescent="0.35">
      <c r="A2" s="38"/>
      <c r="B2" s="41"/>
      <c r="C2" s="41"/>
      <c r="D2" s="41"/>
      <c r="E2" s="41"/>
      <c r="F2" s="41"/>
      <c r="G2" s="41"/>
      <c r="H2" s="41"/>
      <c r="I2" s="41"/>
    </row>
    <row r="3" spans="1:9" ht="17.25" thickBot="1" x14ac:dyDescent="0.35">
      <c r="B3" s="41"/>
      <c r="C3" s="615" t="s">
        <v>113</v>
      </c>
      <c r="D3" s="617"/>
      <c r="E3" s="41"/>
      <c r="F3" s="41"/>
      <c r="G3" s="41"/>
      <c r="H3" s="41"/>
      <c r="I3" s="41"/>
    </row>
    <row r="4" spans="1:9" ht="16.5" x14ac:dyDescent="0.3">
      <c r="B4" s="41"/>
      <c r="C4" s="41"/>
      <c r="D4" s="41"/>
      <c r="E4" s="41"/>
      <c r="F4" s="41"/>
      <c r="G4" s="41"/>
      <c r="H4" s="41"/>
      <c r="I4" s="41"/>
    </row>
    <row r="5" spans="1:9" ht="17.25" thickBot="1" x14ac:dyDescent="0.35">
      <c r="B5" s="41"/>
      <c r="C5" s="155"/>
      <c r="I5" s="41"/>
    </row>
    <row r="6" spans="1:9" ht="30.75" thickBot="1" x14ac:dyDescent="0.35">
      <c r="B6" s="41"/>
      <c r="C6" s="193" t="s">
        <v>77</v>
      </c>
      <c r="D6" s="194" t="s">
        <v>75</v>
      </c>
      <c r="E6" s="194" t="s">
        <v>78</v>
      </c>
      <c r="F6" s="195" t="s">
        <v>79</v>
      </c>
      <c r="G6" s="196"/>
      <c r="H6" s="589" t="s">
        <v>660</v>
      </c>
      <c r="I6" s="41"/>
    </row>
    <row r="7" spans="1:9" ht="16.5" x14ac:dyDescent="0.3">
      <c r="B7" s="41"/>
      <c r="C7" s="226">
        <f>D7+D21</f>
        <v>362290407.72471404</v>
      </c>
      <c r="D7" s="591">
        <f>'4.Investitie'!M20</f>
        <v>246322038.30505133</v>
      </c>
      <c r="E7" s="591">
        <f>D7*E8</f>
        <v>246322038.30505133</v>
      </c>
      <c r="F7" s="197">
        <f>MIN(E7,H7)</f>
        <v>246322038.30505133</v>
      </c>
      <c r="G7" s="197"/>
      <c r="H7" s="590">
        <f>50000000*euro</f>
        <v>248765000</v>
      </c>
      <c r="I7" s="41"/>
    </row>
    <row r="8" spans="1:9" ht="17.25" thickBot="1" x14ac:dyDescent="0.35">
      <c r="B8" s="41"/>
      <c r="C8" s="199">
        <v>1</v>
      </c>
      <c r="D8" s="200">
        <f>D7/$C$7</f>
        <v>0.67990218082787013</v>
      </c>
      <c r="E8" s="201">
        <f>'8.IRR+FG'!K22</f>
        <v>1</v>
      </c>
      <c r="F8" s="202">
        <f>F7/E7</f>
        <v>1</v>
      </c>
      <c r="G8" s="203"/>
      <c r="H8" s="588"/>
      <c r="I8" s="41"/>
    </row>
    <row r="9" spans="1:9" ht="16.5" x14ac:dyDescent="0.3">
      <c r="B9" s="41"/>
      <c r="C9" s="205"/>
      <c r="D9" s="206"/>
      <c r="E9" s="206"/>
      <c r="F9" s="713" t="s">
        <v>82</v>
      </c>
      <c r="G9" s="713" t="s">
        <v>349</v>
      </c>
      <c r="H9" s="714">
        <v>0</v>
      </c>
      <c r="I9" s="41"/>
    </row>
    <row r="10" spans="1:9" ht="16.5" x14ac:dyDescent="0.3">
      <c r="B10" s="41"/>
      <c r="C10" s="205"/>
      <c r="D10" s="206"/>
      <c r="E10" s="206"/>
      <c r="F10" s="197">
        <f>E7*F11</f>
        <v>0</v>
      </c>
      <c r="G10" s="207"/>
      <c r="H10" s="208"/>
      <c r="I10" s="41"/>
    </row>
    <row r="11" spans="1:9" ht="17.25" thickBot="1" x14ac:dyDescent="0.35">
      <c r="B11" s="41"/>
      <c r="C11" s="205"/>
      <c r="D11" s="209"/>
      <c r="E11" s="209"/>
      <c r="F11" s="202">
        <f>BS</f>
        <v>0</v>
      </c>
      <c r="G11" s="203"/>
      <c r="H11" s="204"/>
      <c r="I11" s="41"/>
    </row>
    <row r="12" spans="1:9" ht="16.5" x14ac:dyDescent="0.3">
      <c r="B12" s="41"/>
      <c r="C12" s="205"/>
      <c r="D12" s="209"/>
      <c r="E12" s="209"/>
      <c r="F12" s="713" t="s">
        <v>83</v>
      </c>
      <c r="G12" s="713" t="s">
        <v>76</v>
      </c>
      <c r="H12" s="714">
        <v>0</v>
      </c>
      <c r="I12" s="41"/>
    </row>
    <row r="13" spans="1:9" ht="16.5" x14ac:dyDescent="0.3">
      <c r="B13" s="41"/>
      <c r="C13" s="205"/>
      <c r="D13" s="209"/>
      <c r="E13" s="209"/>
      <c r="F13" s="197">
        <f>E7-F7</f>
        <v>0</v>
      </c>
      <c r="G13" s="207"/>
      <c r="H13" s="208"/>
      <c r="I13" s="41"/>
    </row>
    <row r="14" spans="1:9" ht="17.25" thickBot="1" x14ac:dyDescent="0.35">
      <c r="B14" s="41"/>
      <c r="C14" s="205"/>
      <c r="D14" s="209"/>
      <c r="E14" s="210"/>
      <c r="F14" s="211">
        <f>F13/E7</f>
        <v>0</v>
      </c>
      <c r="G14" s="212"/>
      <c r="H14" s="213"/>
      <c r="I14" s="41"/>
    </row>
    <row r="15" spans="1:9" ht="15.75" customHeight="1" x14ac:dyDescent="0.3">
      <c r="B15" s="41"/>
      <c r="C15" s="205"/>
      <c r="D15" s="209"/>
      <c r="E15" s="713" t="s">
        <v>432</v>
      </c>
      <c r="F15" s="713" t="s">
        <v>350</v>
      </c>
      <c r="G15" s="713">
        <v>0</v>
      </c>
      <c r="H15" s="714">
        <v>0</v>
      </c>
      <c r="I15" s="41"/>
    </row>
    <row r="16" spans="1:9" ht="16.5" x14ac:dyDescent="0.3">
      <c r="B16" s="41"/>
      <c r="C16" s="205"/>
      <c r="D16" s="209"/>
      <c r="E16" s="197">
        <f>D7*E17</f>
        <v>0</v>
      </c>
      <c r="F16" s="197"/>
      <c r="G16" s="197"/>
      <c r="H16" s="198"/>
      <c r="I16" s="41"/>
    </row>
    <row r="17" spans="2:9" ht="17.25" thickBot="1" x14ac:dyDescent="0.35">
      <c r="B17" s="41"/>
      <c r="C17" s="205"/>
      <c r="D17" s="210"/>
      <c r="E17" s="211">
        <f>1-E8</f>
        <v>0</v>
      </c>
      <c r="F17" s="214"/>
      <c r="G17" s="214"/>
      <c r="H17" s="198"/>
      <c r="I17" s="41"/>
    </row>
    <row r="18" spans="2:9" ht="30" x14ac:dyDescent="0.3">
      <c r="B18" s="41"/>
      <c r="C18" s="209"/>
      <c r="D18" s="194" t="s">
        <v>80</v>
      </c>
      <c r="E18" s="715" t="s">
        <v>81</v>
      </c>
      <c r="F18" s="714">
        <v>0</v>
      </c>
      <c r="G18" s="194" t="s">
        <v>76</v>
      </c>
      <c r="H18" s="194" t="s">
        <v>659</v>
      </c>
      <c r="I18" s="41"/>
    </row>
    <row r="19" spans="2:9" ht="16.5" x14ac:dyDescent="0.3">
      <c r="B19" s="41"/>
      <c r="C19" s="209"/>
      <c r="D19" s="215"/>
      <c r="E19" s="216"/>
      <c r="F19" s="208"/>
      <c r="G19" s="217"/>
      <c r="H19" s="591">
        <f>'4.Investitie'!K19</f>
        <v>57495472.211946428</v>
      </c>
      <c r="I19" s="41"/>
    </row>
    <row r="20" spans="2:9" ht="17.25" thickBot="1" x14ac:dyDescent="0.35">
      <c r="B20" s="41"/>
      <c r="C20" s="209"/>
      <c r="D20" s="215"/>
      <c r="E20" s="226">
        <f>G20+G25</f>
        <v>115968369.41966268</v>
      </c>
      <c r="F20" s="218"/>
      <c r="G20" s="591">
        <f>H19</f>
        <v>57495472.211946428</v>
      </c>
      <c r="H20" s="219">
        <f>H19/G20</f>
        <v>1</v>
      </c>
      <c r="I20" s="41"/>
    </row>
    <row r="21" spans="2:9" ht="16.5" x14ac:dyDescent="0.3">
      <c r="B21" s="41"/>
      <c r="C21" s="209"/>
      <c r="D21" s="591">
        <f>E20</f>
        <v>115968369.41966268</v>
      </c>
      <c r="E21" s="220">
        <f>E20/D21</f>
        <v>1</v>
      </c>
      <c r="F21" s="221"/>
      <c r="G21" s="222">
        <f>G20/E20</f>
        <v>0.49578581211126305</v>
      </c>
      <c r="H21" s="223" t="s">
        <v>350</v>
      </c>
      <c r="I21" s="41"/>
    </row>
    <row r="22" spans="2:9" ht="16.5" x14ac:dyDescent="0.3">
      <c r="B22" s="41"/>
      <c r="C22" s="209"/>
      <c r="D22" s="224">
        <f>D21/C7</f>
        <v>0.32009781917212976</v>
      </c>
      <c r="E22" s="711"/>
      <c r="F22" s="712"/>
      <c r="G22" s="225"/>
      <c r="H22" s="218">
        <v>0</v>
      </c>
      <c r="I22" s="41"/>
    </row>
    <row r="23" spans="2:9" ht="17.25" thickBot="1" x14ac:dyDescent="0.35">
      <c r="B23" s="41"/>
      <c r="C23" s="209"/>
      <c r="D23" s="206"/>
      <c r="E23" s="226"/>
      <c r="F23" s="218"/>
      <c r="G23" s="227"/>
      <c r="H23" s="228">
        <f>H22/G20</f>
        <v>0</v>
      </c>
      <c r="I23" s="41"/>
    </row>
    <row r="24" spans="2:9" ht="30" x14ac:dyDescent="0.3">
      <c r="B24" s="41"/>
      <c r="C24" s="209"/>
      <c r="D24" s="229"/>
      <c r="E24" s="220"/>
      <c r="F24" s="221"/>
      <c r="G24" s="230" t="s">
        <v>84</v>
      </c>
      <c r="H24" s="231"/>
      <c r="I24" s="41"/>
    </row>
    <row r="25" spans="2:9" ht="16.5" x14ac:dyDescent="0.3">
      <c r="B25" s="41"/>
      <c r="C25" s="209"/>
      <c r="D25" s="201"/>
      <c r="E25" s="711"/>
      <c r="F25" s="712"/>
      <c r="G25" s="226">
        <f>'4.Investitie'!S18</f>
        <v>58472897.207716256</v>
      </c>
      <c r="H25" s="198"/>
      <c r="I25" s="41"/>
    </row>
    <row r="26" spans="2:9" ht="16.5" x14ac:dyDescent="0.3">
      <c r="B26" s="41"/>
      <c r="C26" s="209"/>
      <c r="D26" s="201"/>
      <c r="E26" s="226"/>
      <c r="F26" s="218"/>
      <c r="G26" s="220">
        <f>G25/E20</f>
        <v>0.50421418788873695</v>
      </c>
      <c r="H26" s="198"/>
      <c r="I26" s="41"/>
    </row>
    <row r="27" spans="2:9" ht="17.25" thickBot="1" x14ac:dyDescent="0.35">
      <c r="B27" s="41"/>
      <c r="C27" s="210"/>
      <c r="D27" s="232"/>
      <c r="E27" s="233"/>
      <c r="F27" s="234"/>
      <c r="G27" s="235"/>
      <c r="H27" s="236"/>
      <c r="I27" s="41"/>
    </row>
    <row r="28" spans="2:9" ht="20.25" customHeight="1" x14ac:dyDescent="0.3">
      <c r="B28" s="41"/>
      <c r="C28" s="41"/>
      <c r="D28" s="41"/>
      <c r="E28" s="41"/>
      <c r="F28" s="41"/>
      <c r="G28" s="41"/>
      <c r="H28" s="41"/>
      <c r="I28" s="41"/>
    </row>
  </sheetData>
  <mergeCells count="7">
    <mergeCell ref="E22:F22"/>
    <mergeCell ref="E25:F25"/>
    <mergeCell ref="C3:D3"/>
    <mergeCell ref="F9:H9"/>
    <mergeCell ref="F12:H12"/>
    <mergeCell ref="E15:H15"/>
    <mergeCell ref="E18:F1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66FB-9B68-4E36-9B7A-0B052DE5B49F}">
  <sheetPr>
    <pageSetUpPr fitToPage="1"/>
  </sheetPr>
  <dimension ref="A2:AR31"/>
  <sheetViews>
    <sheetView topLeftCell="AD4" workbookViewId="0">
      <selection activeCell="D29" sqref="D29"/>
    </sheetView>
  </sheetViews>
  <sheetFormatPr defaultColWidth="11.5703125" defaultRowHeight="15" x14ac:dyDescent="0.25"/>
  <cols>
    <col min="1" max="2" width="3.42578125" style="406" customWidth="1"/>
    <col min="3" max="3" width="29.140625" style="407" customWidth="1"/>
    <col min="4" max="4" width="10.42578125" style="406" customWidth="1"/>
    <col min="5" max="5" width="5.28515625" style="406" bestFit="1" customWidth="1"/>
    <col min="6" max="6" width="9.7109375" style="406" customWidth="1"/>
    <col min="7" max="7" width="10" style="406" customWidth="1"/>
    <col min="8" max="8" width="10.7109375" style="406" customWidth="1"/>
    <col min="9" max="9" width="10.28515625" style="406" customWidth="1"/>
    <col min="10" max="11" width="9.85546875" style="406" bestFit="1" customWidth="1"/>
    <col min="12" max="14" width="10.28515625" style="406" bestFit="1" customWidth="1"/>
    <col min="15" max="15" width="10.28515625" style="406" customWidth="1"/>
    <col min="16" max="25" width="10.28515625" style="406" bestFit="1" customWidth="1"/>
    <col min="26" max="36" width="10.28515625" style="406" customWidth="1"/>
    <col min="37" max="37" width="3.7109375" style="406" customWidth="1"/>
    <col min="38" max="38" width="10.7109375" style="406" bestFit="1" customWidth="1"/>
    <col min="39" max="39" width="10.140625" style="406" customWidth="1"/>
    <col min="40" max="40" width="4.42578125" style="406" customWidth="1"/>
    <col min="41" max="42" width="9.85546875" style="406" customWidth="1"/>
    <col min="43" max="43" width="4.42578125" style="406" customWidth="1"/>
    <col min="44" max="44" width="4.7109375" style="406" customWidth="1"/>
    <col min="45" max="16384" width="11.5703125" style="406"/>
  </cols>
  <sheetData>
    <row r="2" spans="1:44" s="385" customFormat="1" ht="33.75" customHeight="1" x14ac:dyDescent="0.25">
      <c r="C2" s="352" t="s">
        <v>0</v>
      </c>
      <c r="D2" s="687" t="str">
        <f>'8.IRR+FG'!D3</f>
        <v>PRIMARIA MUNICIPIULUI SUCEAVA</v>
      </c>
      <c r="E2" s="687"/>
      <c r="F2" s="687"/>
      <c r="G2" s="687"/>
      <c r="H2" s="687"/>
      <c r="I2" s="687"/>
      <c r="J2" s="386"/>
      <c r="K2" s="386"/>
      <c r="L2" s="386"/>
      <c r="M2" s="386"/>
      <c r="N2" s="386" t="s">
        <v>458</v>
      </c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</row>
    <row r="3" spans="1:44" s="385" customFormat="1" ht="33.75" customHeight="1" x14ac:dyDescent="0.25">
      <c r="C3" s="352" t="s">
        <v>1</v>
      </c>
      <c r="D3" s="692" t="str">
        <f>'8.IRR+FG'!D4</f>
        <v>Reabilitarea sistemului de transport și distribuție energie termică în municipiul Suceava</v>
      </c>
      <c r="E3" s="692"/>
      <c r="F3" s="692"/>
      <c r="G3" s="692"/>
      <c r="H3" s="692"/>
      <c r="I3" s="692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</row>
    <row r="4" spans="1:44" s="385" customFormat="1" ht="15" customHeight="1" x14ac:dyDescent="0.25">
      <c r="C4" s="387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</row>
    <row r="5" spans="1:44" s="385" customFormat="1" ht="14.25" customHeight="1" thickBot="1" x14ac:dyDescent="0.35">
      <c r="A5" s="41"/>
      <c r="B5" s="41"/>
      <c r="C5" s="23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</row>
    <row r="6" spans="1:44" s="385" customFormat="1" ht="18.75" customHeight="1" thickBot="1" x14ac:dyDescent="0.35">
      <c r="A6" s="41"/>
      <c r="B6" s="41"/>
      <c r="C6" s="615" t="s">
        <v>479</v>
      </c>
      <c r="D6" s="616"/>
      <c r="E6" s="617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385" customFormat="1" ht="18.75" customHeight="1" x14ac:dyDescent="0.3">
      <c r="A7" s="41"/>
      <c r="B7" s="38"/>
      <c r="C7" s="388"/>
      <c r="D7" s="133"/>
      <c r="E7" s="133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41"/>
    </row>
    <row r="8" spans="1:44" s="385" customFormat="1" ht="18.75" customHeight="1" x14ac:dyDescent="0.3">
      <c r="A8" s="41"/>
      <c r="B8" s="41"/>
      <c r="C8" s="237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s="385" customFormat="1" ht="18.75" customHeight="1" x14ac:dyDescent="0.3">
      <c r="A9" s="41"/>
      <c r="B9" s="41"/>
      <c r="C9" s="389" t="s">
        <v>85</v>
      </c>
      <c r="D9" s="390"/>
      <c r="E9" s="39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s="392" customFormat="1" ht="16.5" customHeight="1" x14ac:dyDescent="0.3">
      <c r="A10" s="41"/>
      <c r="B10" s="41"/>
      <c r="C10" s="237"/>
      <c r="D10" s="41"/>
      <c r="E10" s="4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41"/>
    </row>
    <row r="11" spans="1:44" s="392" customFormat="1" ht="24" x14ac:dyDescent="0.3">
      <c r="A11" s="41"/>
      <c r="C11" s="393" t="s">
        <v>459</v>
      </c>
      <c r="D11" s="394" t="s">
        <v>460</v>
      </c>
      <c r="E11" s="395" t="s">
        <v>461</v>
      </c>
      <c r="F11" s="396">
        <f>'8.IRR+FG'!P4</f>
        <v>2023</v>
      </c>
      <c r="G11" s="396">
        <f>'8.IRR+FG'!Q4</f>
        <v>2024</v>
      </c>
      <c r="H11" s="396">
        <f>'8.IRR+FG'!R4</f>
        <v>2025</v>
      </c>
      <c r="I11" s="396">
        <f>'8.IRR+FG'!S4</f>
        <v>2026</v>
      </c>
      <c r="J11" s="396">
        <f>'8.IRR+FG'!T4</f>
        <v>2027</v>
      </c>
      <c r="K11" s="396">
        <f>'8.IRR+FG'!U4</f>
        <v>2028</v>
      </c>
      <c r="L11" s="396">
        <f>'8.IRR+FG'!V4</f>
        <v>2029</v>
      </c>
      <c r="M11" s="396">
        <f>'8.IRR+FG'!W4</f>
        <v>2030</v>
      </c>
      <c r="N11" s="396">
        <f>'8.IRR+FG'!X4</f>
        <v>2031</v>
      </c>
      <c r="O11" s="396">
        <f>'8.IRR+FG'!Y4</f>
        <v>2032</v>
      </c>
      <c r="P11" s="396">
        <f>'8.IRR+FG'!Z4</f>
        <v>2033</v>
      </c>
      <c r="Q11" s="396">
        <f>'8.IRR+FG'!AA4</f>
        <v>2034</v>
      </c>
      <c r="R11" s="396">
        <f>'8.IRR+FG'!AB4</f>
        <v>2035</v>
      </c>
      <c r="S11" s="396">
        <f>'8.IRR+FG'!AC4</f>
        <v>2036</v>
      </c>
      <c r="T11" s="396">
        <f>'8.IRR+FG'!AD4</f>
        <v>2037</v>
      </c>
      <c r="U11" s="396">
        <f>'8.IRR+FG'!AE4</f>
        <v>2038</v>
      </c>
      <c r="V11" s="396">
        <f>'8.IRR+FG'!AF4</f>
        <v>2039</v>
      </c>
      <c r="W11" s="396">
        <f>'8.IRR+FG'!AG4</f>
        <v>2040</v>
      </c>
      <c r="X11" s="396">
        <f>'8.IRR+FG'!AH4</f>
        <v>2041</v>
      </c>
      <c r="Y11" s="592">
        <f>'8.IRR+FG'!AI4</f>
        <v>2042</v>
      </c>
      <c r="Z11" s="592">
        <f>'8.IRR+FG'!AJ4</f>
        <v>2043</v>
      </c>
      <c r="AA11" s="592">
        <f>'8.IRR+FG'!AK4</f>
        <v>2044</v>
      </c>
      <c r="AB11" s="592">
        <f>'8.IRR+FG'!AL4</f>
        <v>2045</v>
      </c>
      <c r="AC11" s="592">
        <f>'8.IRR+FG'!AM4</f>
        <v>2046</v>
      </c>
      <c r="AD11" s="592">
        <f>'8.IRR+FG'!AN4</f>
        <v>2047</v>
      </c>
      <c r="AE11" s="592">
        <f>'8.IRR+FG'!AO4</f>
        <v>2048</v>
      </c>
      <c r="AF11" s="592">
        <f>'8.IRR+FG'!AP4</f>
        <v>2049</v>
      </c>
      <c r="AG11" s="592">
        <f>'8.IRR+FG'!AQ4</f>
        <v>2050</v>
      </c>
      <c r="AH11" s="592">
        <f>'8.IRR+FG'!AR4</f>
        <v>2051</v>
      </c>
      <c r="AI11" s="592">
        <f>'8.IRR+FG'!AS4</f>
        <v>2052</v>
      </c>
      <c r="AJ11" s="592">
        <f>'8.IRR+FG'!AT4</f>
        <v>2053</v>
      </c>
      <c r="AL11" s="395" t="s">
        <v>462</v>
      </c>
      <c r="AM11" s="395" t="s">
        <v>463</v>
      </c>
      <c r="AO11" s="397" t="s">
        <v>464</v>
      </c>
      <c r="AP11" s="397" t="s">
        <v>465</v>
      </c>
      <c r="AR11" s="41"/>
    </row>
    <row r="12" spans="1:44" s="392" customFormat="1" ht="24" x14ac:dyDescent="0.3">
      <c r="A12" s="41"/>
      <c r="C12" s="398" t="s">
        <v>466</v>
      </c>
      <c r="D12" s="399">
        <v>9.9999997764825821E-3</v>
      </c>
      <c r="E12" s="400" t="s">
        <v>417</v>
      </c>
      <c r="F12" s="401">
        <f>'8.IRR+FG'!P$29+'8.IRR+FG'!P$30+'8.IRR+FG'!P$31+'8.IRR+FG'!P$32+'8.IRR+FG'!P$35*(1+'10.Sensitivitate'!$D12)</f>
        <v>0</v>
      </c>
      <c r="G12" s="401">
        <f>'8.IRR+FG'!Q$29+'8.IRR+FG'!Q$30+'8.IRR+FG'!Q$31+'8.IRR+FG'!Q$32+'8.IRR+FG'!Q$35*(1+'10.Sensitivitate'!$D12)</f>
        <v>-666.09499985259026</v>
      </c>
      <c r="H12" s="401">
        <f>'8.IRR+FG'!R$29+'8.IRR+FG'!R$30+'8.IRR+FG'!R$31+'8.IRR+FG'!R$32+'8.IRR+FG'!R$35*(1+'10.Sensitivitate'!$D12)</f>
        <v>-80216.995756863427</v>
      </c>
      <c r="I12" s="401">
        <f>'8.IRR+FG'!S$29+'8.IRR+FG'!S$30+'8.IRR+FG'!S$31+'8.IRR+FG'!S$32+'8.IRR+FG'!S$35*(1+'10.Sensitivitate'!$D12)</f>
        <v>-146116.13032781868</v>
      </c>
      <c r="J12" s="401">
        <f>'8.IRR+FG'!T$29+'8.IRR+FG'!T$30+'8.IRR+FG'!T$31+'8.IRR+FG'!T$32+'8.IRR+FG'!T$35*(1+'10.Sensitivitate'!$D12)</f>
        <v>-77862.243989219889</v>
      </c>
      <c r="K12" s="401">
        <f>'8.IRR+FG'!U$29+'8.IRR+FG'!U$30+'8.IRR+FG'!U$31+'8.IRR+FG'!U$32+'8.IRR+FG'!U$35*(1+'10.Sensitivitate'!$D12)</f>
        <v>-4381.4899506489564</v>
      </c>
      <c r="L12" s="401">
        <f>'8.IRR+FG'!V$29+'8.IRR+FG'!V$30+'8.IRR+FG'!V$31+'8.IRR+FG'!V$32+'8.IRR+FG'!V$35*(1+'10.Sensitivitate'!$D12)</f>
        <v>-4037.2338778724006</v>
      </c>
      <c r="M12" s="401">
        <f>'8.IRR+FG'!W$29+'8.IRR+FG'!W$30+'8.IRR+FG'!W$31+'8.IRR+FG'!W$32+'8.IRR+FG'!W$35*(1+'10.Sensitivitate'!$D12)</f>
        <v>-3692.902340969631</v>
      </c>
      <c r="N12" s="401">
        <f>'8.IRR+FG'!X$29+'8.IRR+FG'!X$30+'8.IRR+FG'!X$31+'8.IRR+FG'!X$32+'8.IRR+FG'!X$35*(1+'10.Sensitivitate'!$D12)</f>
        <v>-3347.5295265769455</v>
      </c>
      <c r="O12" s="401">
        <f>'8.IRR+FG'!Y$29+'8.IRR+FG'!Y$30+'8.IRR+FG'!Y$31+'8.IRR+FG'!Y$32+'8.IRR+FG'!Y$35*(1+'10.Sensitivitate'!$D12)</f>
        <v>-3313.5764171393057</v>
      </c>
      <c r="P12" s="401">
        <f>'8.IRR+FG'!Z$29+'8.IRR+FG'!Z$30+'8.IRR+FG'!Z$31+'8.IRR+FG'!Z$32+'8.IRR+FG'!Z$35*(1+'10.Sensitivitate'!$D12)</f>
        <v>-3276.7141552076682</v>
      </c>
      <c r="Q12" s="401">
        <f>'8.IRR+FG'!AA$29+'8.IRR+FG'!AA$30+'8.IRR+FG'!AA$31+'8.IRR+FG'!AA$32+'8.IRR+FG'!AA$35*(1+'10.Sensitivitate'!$D12)</f>
        <v>-3237.0518366578362</v>
      </c>
      <c r="R12" s="401">
        <f>'8.IRR+FG'!AB$29+'8.IRR+FG'!AB$30+'8.IRR+FG'!AB$31+'8.IRR+FG'!AB$32+'8.IRR+FG'!AB$35*(1+'10.Sensitivitate'!$D12)</f>
        <v>-3194.6913245712058</v>
      </c>
      <c r="S12" s="401">
        <f>'8.IRR+FG'!AC$29+'8.IRR+FG'!AC$30+'8.IRR+FG'!AC$31+'8.IRR+FG'!AC$32+'8.IRR+FG'!AC$35*(1+'10.Sensitivitate'!$D12)</f>
        <v>-3149.7271873508726</v>
      </c>
      <c r="T12" s="401">
        <f>'8.IRR+FG'!AD$29+'8.IRR+FG'!AD$30+'8.IRR+FG'!AD$31+'8.IRR+FG'!AD$32+'8.IRR+FG'!AD$35*(1+'10.Sensitivitate'!$D12)</f>
        <v>-3197.3128773165372</v>
      </c>
      <c r="U12" s="401">
        <f>'8.IRR+FG'!AE$29+'8.IRR+FG'!AE$30+'8.IRR+FG'!AE$31+'8.IRR+FG'!AE$32+'8.IRR+FG'!AE$35*(1+'10.Sensitivitate'!$D12)</f>
        <v>-3242.2036207226847</v>
      </c>
      <c r="V12" s="401">
        <f>'8.IRR+FG'!AF$29+'8.IRR+FG'!AF$30+'8.IRR+FG'!AF$31+'8.IRR+FG'!AF$32+'8.IRR+FG'!AF$35*(1+'10.Sensitivitate'!$D12)</f>
        <v>-3284.5152929260148</v>
      </c>
      <c r="W12" s="401">
        <f>'8.IRR+FG'!AG$29+'8.IRR+FG'!AG$30+'8.IRR+FG'!AG$31+'8.IRR+FG'!AG$32+'8.IRR+FG'!AG$35*(1+'10.Sensitivitate'!$D12)</f>
        <v>-3324.3605775621836</v>
      </c>
      <c r="X12" s="401">
        <f>'8.IRR+FG'!AH$29+'8.IRR+FG'!AH$30+'8.IRR+FG'!AH$31+'8.IRR+FG'!AH$32+'8.IRR+FG'!AH$35*(1+'10.Sensitivitate'!$D12)</f>
        <v>-3361.8490440450223</v>
      </c>
      <c r="Y12" s="401">
        <f>'8.IRR+FG'!AI$29+'8.IRR+FG'!AI$30+'8.IRR+FG'!AI$31+'8.IRR+FG'!AI$32+'8.IRR+FG'!AI$35*(1+'10.Sensitivitate'!$D12)</f>
        <v>-3397.0872232913425</v>
      </c>
      <c r="Z12" s="401">
        <f>'8.IRR+FG'!AJ$29+'8.IRR+FG'!AJ$30+'8.IRR+FG'!AJ$31+'8.IRR+FG'!AJ$32+'8.IRR+FG'!AJ$35*(1+'10.Sensitivitate'!$D12)</f>
        <v>-3430.1786817111279</v>
      </c>
      <c r="AA12" s="401">
        <f>'8.IRR+FG'!AK$29+'8.IRR+FG'!AK$30+'8.IRR+FG'!AK$31+'8.IRR+FG'!AK$32+'8.IRR+FG'!AK$35*(1+'10.Sensitivitate'!$D12)</f>
        <v>-3448.9888557177692</v>
      </c>
      <c r="AB12" s="401">
        <f>'8.IRR+FG'!AL$29+'8.IRR+FG'!AL$30+'8.IRR+FG'!AL$31+'8.IRR+FG'!AL$32+'8.IRR+FG'!AL$35*(1+'10.Sensitivitate'!$D12)</f>
        <v>-3463.9166207332491</v>
      </c>
      <c r="AC12" s="401">
        <f>'8.IRR+FG'!AM$29+'8.IRR+FG'!AM$30+'8.IRR+FG'!AM$31+'8.IRR+FG'!AM$32+'8.IRR+FG'!AM$35*(1+'10.Sensitivitate'!$D12)</f>
        <v>-3474.9823998491192</v>
      </c>
      <c r="AD12" s="401">
        <f>'8.IRR+FG'!AN$29+'8.IRR+FG'!AN$30+'8.IRR+FG'!AN$31+'8.IRR+FG'!AN$32+'8.IRR+FG'!AN$35*(1+'10.Sensitivitate'!$D12)</f>
        <v>-3482.2060673207161</v>
      </c>
      <c r="AE12" s="401">
        <f>'8.IRR+FG'!AO$29+'8.IRR+FG'!AO$30+'8.IRR+FG'!AO$31+'8.IRR+FG'!AO$32+'8.IRR+FG'!AO$35*(1+'10.Sensitivitate'!$D12)</f>
        <v>-3485.6069539293967</v>
      </c>
      <c r="AF12" s="401">
        <f>'8.IRR+FG'!AP$29+'8.IRR+FG'!AP$30+'8.IRR+FG'!AP$31+'8.IRR+FG'!AP$32+'8.IRR+FG'!AP$35*(1+'10.Sensitivitate'!$D12)</f>
        <v>-3485.2038522695148</v>
      </c>
      <c r="AG12" s="401">
        <f>'8.IRR+FG'!AQ$29+'8.IRR+FG'!AQ$30+'8.IRR+FG'!AQ$31+'8.IRR+FG'!AQ$32+'8.IRR+FG'!AQ$35*(1+'10.Sensitivitate'!$D12)</f>
        <v>-3481.0150219618008</v>
      </c>
      <c r="AH12" s="401">
        <f>'8.IRR+FG'!AR$29+'8.IRR+FG'!AR$30+'8.IRR+FG'!AR$31+'8.IRR+FG'!AR$32+'8.IRR+FG'!AR$35*(1+'10.Sensitivitate'!$D12)</f>
        <v>-3473.0581947932151</v>
      </c>
      <c r="AI12" s="401">
        <f>'8.IRR+FG'!AS$29+'8.IRR+FG'!AS$30+'8.IRR+FG'!AS$31+'8.IRR+FG'!AS$32+'8.IRR+FG'!AS$35*(1+'10.Sensitivitate'!$D12)</f>
        <v>-3461.3505797843609</v>
      </c>
      <c r="AJ12" s="401">
        <f>'8.IRR+FG'!AT$29+'8.IRR+FG'!AT$30+'8.IRR+FG'!AT$31+'8.IRR+FG'!AT$32+'8.IRR+FG'!AT$35*(1+'10.Sensitivitate'!$D12)</f>
        <v>-3445.9088681857102</v>
      </c>
      <c r="AL12" s="401">
        <f t="shared" ref="AL12:AL17" si="0">G12+NPV(RAF,H12:AJ12)</f>
        <v>-331370.2243641786</v>
      </c>
      <c r="AM12" s="402" t="e">
        <f>IRR(G12:AJ12,-40%)</f>
        <v>#NUM!</v>
      </c>
      <c r="AO12" s="403">
        <f>IF('8.IRR+FG'!$K$40&lt;0,(-('10.Sensitivitate'!AL12-'8.IRR+FG'!$K$40)/'8.IRR+FG'!$K$40),('10.Sensitivitate'!AL12-'8.IRR+FG'!$K$40)/'8.IRR+FG'!$K$40)</f>
        <v>-8.3992431850943069E-3</v>
      </c>
      <c r="AP12" s="403" t="e">
        <f>AM12-'8.IRR+FG'!$K$39</f>
        <v>#NUM!</v>
      </c>
      <c r="AR12" s="41"/>
    </row>
    <row r="13" spans="1:44" s="392" customFormat="1" ht="24" x14ac:dyDescent="0.3">
      <c r="A13" s="41"/>
      <c r="C13" s="398" t="s">
        <v>467</v>
      </c>
      <c r="D13" s="399">
        <v>-0.01</v>
      </c>
      <c r="E13" s="400" t="s">
        <v>417</v>
      </c>
      <c r="F13" s="401">
        <f>'8.IRR+FG'!P$29+'8.IRR+FG'!P$30+'8.IRR+FG'!P$31+'8.IRR+FG'!P$32+'8.IRR+FG'!P$35*(1+'10.Sensitivitate'!$D13)</f>
        <v>0</v>
      </c>
      <c r="G13" s="401">
        <f>'8.IRR+FG'!Q$29+'8.IRR+FG'!Q$30+'8.IRR+FG'!Q$31+'8.IRR+FG'!Q$32+'8.IRR+FG'!Q$35*(1+'10.Sensitivitate'!$D13)</f>
        <v>-652.90499999999997</v>
      </c>
      <c r="H13" s="401">
        <f>'8.IRR+FG'!R$29+'8.IRR+FG'!R$30+'8.IRR+FG'!R$31+'8.IRR+FG'!R$32+'8.IRR+FG'!R$35*(1+'10.Sensitivitate'!$D13)</f>
        <v>-78628.540412742223</v>
      </c>
      <c r="I13" s="401">
        <f>'8.IRR+FG'!S$29+'8.IRR+FG'!S$30+'8.IRR+FG'!S$31+'8.IRR+FG'!S$32+'8.IRR+FG'!S$35*(1+'10.Sensitivitate'!$D13)</f>
        <v>-143243.20019010274</v>
      </c>
      <c r="J13" s="401">
        <f>'8.IRR+FG'!T$29+'8.IRR+FG'!T$30+'8.IRR+FG'!T$31+'8.IRR+FG'!T$32+'8.IRR+FG'!T$35*(1+'10.Sensitivitate'!$D13)</f>
        <v>-76373.580034655577</v>
      </c>
      <c r="K13" s="401">
        <f>'8.IRR+FG'!U$29+'8.IRR+FG'!U$30+'8.IRR+FG'!U$31+'8.IRR+FG'!U$32+'8.IRR+FG'!U$35*(1+'10.Sensitivitate'!$D13)</f>
        <v>-4381.4899506489564</v>
      </c>
      <c r="L13" s="401">
        <f>'8.IRR+FG'!V$29+'8.IRR+FG'!V$30+'8.IRR+FG'!V$31+'8.IRR+FG'!V$32+'8.IRR+FG'!V$35*(1+'10.Sensitivitate'!$D13)</f>
        <v>-4037.2338778724006</v>
      </c>
      <c r="M13" s="401">
        <f>'8.IRR+FG'!W$29+'8.IRR+FG'!W$30+'8.IRR+FG'!W$31+'8.IRR+FG'!W$32+'8.IRR+FG'!W$35*(1+'10.Sensitivitate'!$D13)</f>
        <v>-3692.902340969631</v>
      </c>
      <c r="N13" s="401">
        <f>'8.IRR+FG'!X$29+'8.IRR+FG'!X$30+'8.IRR+FG'!X$31+'8.IRR+FG'!X$32+'8.IRR+FG'!X$35*(1+'10.Sensitivitate'!$D13)</f>
        <v>-3347.5295265769455</v>
      </c>
      <c r="O13" s="401">
        <f>'8.IRR+FG'!Y$29+'8.IRR+FG'!Y$30+'8.IRR+FG'!Y$31+'8.IRR+FG'!Y$32+'8.IRR+FG'!Y$35*(1+'10.Sensitivitate'!$D13)</f>
        <v>-3313.5764171393057</v>
      </c>
      <c r="P13" s="401">
        <f>'8.IRR+FG'!Z$29+'8.IRR+FG'!Z$30+'8.IRR+FG'!Z$31+'8.IRR+FG'!Z$32+'8.IRR+FG'!Z$35*(1+'10.Sensitivitate'!$D13)</f>
        <v>-3276.7141552076682</v>
      </c>
      <c r="Q13" s="401">
        <f>'8.IRR+FG'!AA$29+'8.IRR+FG'!AA$30+'8.IRR+FG'!AA$31+'8.IRR+FG'!AA$32+'8.IRR+FG'!AA$35*(1+'10.Sensitivitate'!$D13)</f>
        <v>-3237.0518366578362</v>
      </c>
      <c r="R13" s="401">
        <f>'8.IRR+FG'!AB$29+'8.IRR+FG'!AB$30+'8.IRR+FG'!AB$31+'8.IRR+FG'!AB$32+'8.IRR+FG'!AB$35*(1+'10.Sensitivitate'!$D13)</f>
        <v>-3194.6913245712058</v>
      </c>
      <c r="S13" s="401">
        <f>'8.IRR+FG'!AC$29+'8.IRR+FG'!AC$30+'8.IRR+FG'!AC$31+'8.IRR+FG'!AC$32+'8.IRR+FG'!AC$35*(1+'10.Sensitivitate'!$D13)</f>
        <v>-3149.7271873508726</v>
      </c>
      <c r="T13" s="401">
        <f>'8.IRR+FG'!AD$29+'8.IRR+FG'!AD$30+'8.IRR+FG'!AD$31+'8.IRR+FG'!AD$32+'8.IRR+FG'!AD$35*(1+'10.Sensitivitate'!$D13)</f>
        <v>-3197.3128773165372</v>
      </c>
      <c r="U13" s="401">
        <f>'8.IRR+FG'!AE$29+'8.IRR+FG'!AE$30+'8.IRR+FG'!AE$31+'8.IRR+FG'!AE$32+'8.IRR+FG'!AE$35*(1+'10.Sensitivitate'!$D13)</f>
        <v>-3242.2036207226847</v>
      </c>
      <c r="V13" s="401">
        <f>'8.IRR+FG'!AF$29+'8.IRR+FG'!AF$30+'8.IRR+FG'!AF$31+'8.IRR+FG'!AF$32+'8.IRR+FG'!AF$35*(1+'10.Sensitivitate'!$D13)</f>
        <v>-3284.5152929260148</v>
      </c>
      <c r="W13" s="401">
        <f>'8.IRR+FG'!AG$29+'8.IRR+FG'!AG$30+'8.IRR+FG'!AG$31+'8.IRR+FG'!AG$32+'8.IRR+FG'!AG$35*(1+'10.Sensitivitate'!$D13)</f>
        <v>-3324.3605775621836</v>
      </c>
      <c r="X13" s="401">
        <f>'8.IRR+FG'!AH$29+'8.IRR+FG'!AH$30+'8.IRR+FG'!AH$31+'8.IRR+FG'!AH$32+'8.IRR+FG'!AH$35*(1+'10.Sensitivitate'!$D13)</f>
        <v>-3361.8490440450223</v>
      </c>
      <c r="Y13" s="401">
        <f>'8.IRR+FG'!AI$29+'8.IRR+FG'!AI$30+'8.IRR+FG'!AI$31+'8.IRR+FG'!AI$32+'8.IRR+FG'!AI$35*(1+'10.Sensitivitate'!$D13)</f>
        <v>-3397.0872232913425</v>
      </c>
      <c r="Z13" s="401">
        <f>'8.IRR+FG'!AJ$29+'8.IRR+FG'!AJ$30+'8.IRR+FG'!AJ$31+'8.IRR+FG'!AJ$32+'8.IRR+FG'!AJ$35*(1+'10.Sensitivitate'!$D13)</f>
        <v>-3430.1786817111279</v>
      </c>
      <c r="AA13" s="401">
        <f>'8.IRR+FG'!AK$29+'8.IRR+FG'!AK$30+'8.IRR+FG'!AK$31+'8.IRR+FG'!AK$32+'8.IRR+FG'!AK$35*(1+'10.Sensitivitate'!$D13)</f>
        <v>-3448.9888557177692</v>
      </c>
      <c r="AB13" s="401">
        <f>'8.IRR+FG'!AL$29+'8.IRR+FG'!AL$30+'8.IRR+FG'!AL$31+'8.IRR+FG'!AL$32+'8.IRR+FG'!AL$35*(1+'10.Sensitivitate'!$D13)</f>
        <v>-3463.9166207332491</v>
      </c>
      <c r="AC13" s="401">
        <f>'8.IRR+FG'!AM$29+'8.IRR+FG'!AM$30+'8.IRR+FG'!AM$31+'8.IRR+FG'!AM$32+'8.IRR+FG'!AM$35*(1+'10.Sensitivitate'!$D13)</f>
        <v>-3474.9823998491192</v>
      </c>
      <c r="AD13" s="401">
        <f>'8.IRR+FG'!AN$29+'8.IRR+FG'!AN$30+'8.IRR+FG'!AN$31+'8.IRR+FG'!AN$32+'8.IRR+FG'!AN$35*(1+'10.Sensitivitate'!$D13)</f>
        <v>-3482.2060673207161</v>
      </c>
      <c r="AE13" s="401">
        <f>'8.IRR+FG'!AO$29+'8.IRR+FG'!AO$30+'8.IRR+FG'!AO$31+'8.IRR+FG'!AO$32+'8.IRR+FG'!AO$35*(1+'10.Sensitivitate'!$D13)</f>
        <v>-3485.6069539293967</v>
      </c>
      <c r="AF13" s="401">
        <f>'8.IRR+FG'!AP$29+'8.IRR+FG'!AP$30+'8.IRR+FG'!AP$31+'8.IRR+FG'!AP$32+'8.IRR+FG'!AP$35*(1+'10.Sensitivitate'!$D13)</f>
        <v>-3485.2038522695148</v>
      </c>
      <c r="AG13" s="401">
        <f>'8.IRR+FG'!AQ$29+'8.IRR+FG'!AQ$30+'8.IRR+FG'!AQ$31+'8.IRR+FG'!AQ$32+'8.IRR+FG'!AQ$35*(1+'10.Sensitivitate'!$D13)</f>
        <v>-3481.0150219618008</v>
      </c>
      <c r="AH13" s="401">
        <f>'8.IRR+FG'!AR$29+'8.IRR+FG'!AR$30+'8.IRR+FG'!AR$31+'8.IRR+FG'!AR$32+'8.IRR+FG'!AR$35*(1+'10.Sensitivitate'!$D13)</f>
        <v>-3473.0581947932151</v>
      </c>
      <c r="AI13" s="401">
        <f>'8.IRR+FG'!AS$29+'8.IRR+FG'!AS$30+'8.IRR+FG'!AS$31+'8.IRR+FG'!AS$32+'8.IRR+FG'!AS$35*(1+'10.Sensitivitate'!$D13)</f>
        <v>-3461.3505797843609</v>
      </c>
      <c r="AJ13" s="401">
        <f>'8.IRR+FG'!AT$29+'8.IRR+FG'!AT$30+'8.IRR+FG'!AT$31+'8.IRR+FG'!AT$32+'8.IRR+FG'!AT$35*(1+'10.Sensitivitate'!$D13)</f>
        <v>-3445.9088681857102</v>
      </c>
      <c r="AL13" s="401">
        <f t="shared" si="0"/>
        <v>-325850.07121323363</v>
      </c>
      <c r="AM13" s="402" t="e">
        <f t="shared" ref="AM13:AM17" si="1">IRR(G13:AJ13,-40%)</f>
        <v>#NUM!</v>
      </c>
      <c r="AO13" s="403">
        <f>IF('8.IRR+FG'!$K$40&lt;0,(-('10.Sensitivitate'!AL13-'8.IRR+FG'!$K$40)/'8.IRR+FG'!$K$40),('10.Sensitivitate'!AL13-'8.IRR+FG'!$K$40)/'8.IRR+FG'!$K$40)</f>
        <v>8.3992433728321304E-3</v>
      </c>
      <c r="AP13" s="403" t="e">
        <f>AM13-'8.IRR+FG'!$K$39</f>
        <v>#NUM!</v>
      </c>
      <c r="AR13" s="41"/>
    </row>
    <row r="14" spans="1:44" s="392" customFormat="1" ht="24" x14ac:dyDescent="0.3">
      <c r="A14" s="41"/>
      <c r="C14" s="398" t="s">
        <v>468</v>
      </c>
      <c r="D14" s="399">
        <v>9.9999997764825821E-3</v>
      </c>
      <c r="E14" s="400" t="s">
        <v>417</v>
      </c>
      <c r="F14" s="401">
        <f>'8.IRR+FG'!P$29+'8.IRR+FG'!P$30*(1+$D14)+'8.IRR+FG'!P$31+'8.IRR+FG'!P$32+'8.IRR+FG'!P$35</f>
        <v>0</v>
      </c>
      <c r="G14" s="401">
        <f>'8.IRR+FG'!Q$29+'8.IRR+FG'!Q$30*(1+$D14)+'8.IRR+FG'!Q$31+'8.IRR+FG'!Q$32+'8.IRR+FG'!Q$35</f>
        <v>-659.5</v>
      </c>
      <c r="H14" s="401">
        <f>'8.IRR+FG'!R$29+'8.IRR+FG'!R$30*(1+$D14)+'8.IRR+FG'!R$31+'8.IRR+FG'!R$32+'8.IRR+FG'!R$35</f>
        <v>-79422.768093679013</v>
      </c>
      <c r="I14" s="401">
        <f>'8.IRR+FG'!S$29+'8.IRR+FG'!S$30*(1+$D14)+'8.IRR+FG'!S$31+'8.IRR+FG'!S$32+'8.IRR+FG'!S$35</f>
        <v>-144665.68294716597</v>
      </c>
      <c r="J14" s="401">
        <f>'8.IRR+FG'!T$29+'8.IRR+FG'!T$30*(1+$D14)+'8.IRR+FG'!T$31+'8.IRR+FG'!T$32+'8.IRR+FG'!T$35</f>
        <v>-77080.589834101789</v>
      </c>
      <c r="K14" s="401">
        <f>'8.IRR+FG'!U$29+'8.IRR+FG'!U$30*(1+$D14)+'8.IRR+FG'!U$31+'8.IRR+FG'!U$32+'8.IRR+FG'!U$35</f>
        <v>-4317.5792370409627</v>
      </c>
      <c r="L14" s="401">
        <f>'8.IRR+FG'!V$29+'8.IRR+FG'!V$30*(1+$D14)+'8.IRR+FG'!V$31+'8.IRR+FG'!V$32+'8.IRR+FG'!V$35</f>
        <v>-3974.1527715471939</v>
      </c>
      <c r="M14" s="401">
        <f>'8.IRR+FG'!W$29+'8.IRR+FG'!W$30*(1+$D14)+'8.IRR+FG'!W$31+'8.IRR+FG'!W$32+'8.IRR+FG'!W$35</f>
        <v>-3630.5512971112576</v>
      </c>
      <c r="N14" s="401">
        <f>'8.IRR+FG'!X$29+'8.IRR+FG'!X$30*(1+$D14)+'8.IRR+FG'!X$31+'8.IRR+FG'!X$32+'8.IRR+FG'!X$35</f>
        <v>-3285.8264623194182</v>
      </c>
      <c r="O14" s="401">
        <f>'8.IRR+FG'!Y$29+'8.IRR+FG'!Y$30*(1+$D14)+'8.IRR+FG'!Y$31+'8.IRR+FG'!Y$32+'8.IRR+FG'!Y$35</f>
        <v>-3252.0570357279057</v>
      </c>
      <c r="P14" s="401">
        <f>'8.IRR+FG'!Z$29+'8.IRR+FG'!Z$30*(1+$D14)+'8.IRR+FG'!Z$31+'8.IRR+FG'!Z$32+'8.IRR+FG'!Z$35</f>
        <v>-3215.3021458723151</v>
      </c>
      <c r="Q14" s="401">
        <f>'8.IRR+FG'!AA$29+'8.IRR+FG'!AA$30*(1+$D14)+'8.IRR+FG'!AA$31+'8.IRR+FG'!AA$32+'8.IRR+FG'!AA$35</f>
        <v>-3175.6591568519079</v>
      </c>
      <c r="R14" s="401">
        <f>'8.IRR+FG'!AB$29+'8.IRR+FG'!AB$30*(1+$D14)+'8.IRR+FG'!AB$31+'8.IRR+FG'!AB$32+'8.IRR+FG'!AB$35</f>
        <v>-3133.2182261570806</v>
      </c>
      <c r="S14" s="401">
        <f>'8.IRR+FG'!AC$29+'8.IRR+FG'!AC$30*(1+$D14)+'8.IRR+FG'!AC$31+'8.IRR+FG'!AC$32+'8.IRR+FG'!AC$35</f>
        <v>-3088.0799093458927</v>
      </c>
      <c r="T14" s="401">
        <f>'8.IRR+FG'!AD$29+'8.IRR+FG'!AD$30*(1+$D14)+'8.IRR+FG'!AD$31+'8.IRR+FG'!AD$32+'8.IRR+FG'!AD$35</f>
        <v>-3135.281549993535</v>
      </c>
      <c r="U14" s="401">
        <f>'8.IRR+FG'!AE$29+'8.IRR+FG'!AE$30*(1+$D14)+'8.IRR+FG'!AE$31+'8.IRR+FG'!AE$32+'8.IRR+FG'!AE$35</f>
        <v>-3179.6881161792753</v>
      </c>
      <c r="V14" s="401">
        <f>'8.IRR+FG'!AF$29+'8.IRR+FG'!AF$30*(1+$D14)+'8.IRR+FG'!AF$31+'8.IRR+FG'!AF$32+'8.IRR+FG'!AF$35</f>
        <v>-3221.4118683137322</v>
      </c>
      <c r="W14" s="401">
        <f>'8.IRR+FG'!AG$29+'8.IRR+FG'!AG$30*(1+$D14)+'8.IRR+FG'!AG$31+'8.IRR+FG'!AG$32+'8.IRR+FG'!AG$35</f>
        <v>-3260.5616687565371</v>
      </c>
      <c r="X14" s="401">
        <f>'8.IRR+FG'!AH$29+'8.IRR+FG'!AH$30*(1+$D14)+'8.IRR+FG'!AH$31+'8.IRR+FG'!AH$32+'8.IRR+FG'!AH$35</f>
        <v>-3297.24304939576</v>
      </c>
      <c r="Y14" s="401">
        <f>'8.IRR+FG'!AI$29+'8.IRR+FG'!AI$30*(1+$D14)+'8.IRR+FG'!AI$31+'8.IRR+FG'!AI$32+'8.IRR+FG'!AI$35</f>
        <v>-3331.5582769503317</v>
      </c>
      <c r="Z14" s="401">
        <f>'8.IRR+FG'!AJ$29+'8.IRR+FG'!AJ$30*(1+$D14)+'8.IRR+FG'!AJ$31+'8.IRR+FG'!AJ$32+'8.IRR+FG'!AJ$35</f>
        <v>-3363.6064160102505</v>
      </c>
      <c r="AA14" s="401">
        <f>'8.IRR+FG'!AK$29+'8.IRR+FG'!AK$30*(1+$D14)+'8.IRR+FG'!AK$31+'8.IRR+FG'!AK$32+'8.IRR+FG'!AK$35</f>
        <v>-3316.786458209901</v>
      </c>
      <c r="AB14" s="401">
        <f>'8.IRR+FG'!AL$29+'8.IRR+FG'!AL$30*(1+$D14)+'8.IRR+FG'!AL$31+'8.IRR+FG'!AL$32+'8.IRR+FG'!AL$35</f>
        <v>-3286.9858990649191</v>
      </c>
      <c r="AC14" s="401">
        <f>'8.IRR+FG'!AM$29+'8.IRR+FG'!AM$30*(1+$D14)+'8.IRR+FG'!AM$31+'8.IRR+FG'!AM$32+'8.IRR+FG'!AM$35</f>
        <v>-3253.4808738446154</v>
      </c>
      <c r="AD14" s="401">
        <f>'8.IRR+FG'!AN$29+'8.IRR+FG'!AN$30*(1+$D14)+'8.IRR+FG'!AN$31+'8.IRR+FG'!AN$32+'8.IRR+FG'!AN$35</f>
        <v>-3216.2920751039346</v>
      </c>
      <c r="AE14" s="401">
        <f>'8.IRR+FG'!AO$29+'8.IRR+FG'!AO$30*(1+$D14)+'8.IRR+FG'!AO$31+'8.IRR+FG'!AO$32+'8.IRR+FG'!AO$35</f>
        <v>-3175.4284535657243</v>
      </c>
      <c r="AF14" s="401">
        <f>'8.IRR+FG'!AP$29+'8.IRR+FG'!AP$30*(1+$D14)+'8.IRR+FG'!AP$31+'8.IRR+FG'!AP$32+'8.IRR+FG'!AP$35</f>
        <v>-3130.8981676267576</v>
      </c>
      <c r="AG14" s="401">
        <f>'8.IRR+FG'!AQ$29+'8.IRR+FG'!AQ$30*(1+$D14)+'8.IRR+FG'!AQ$31+'8.IRR+FG'!AQ$32+'8.IRR+FG'!AQ$35</f>
        <v>-3082.7085723207201</v>
      </c>
      <c r="AH14" s="401">
        <f>'8.IRR+FG'!AR$29+'8.IRR+FG'!AR$30*(1+$D14)+'8.IRR+FG'!AR$31+'8.IRR+FG'!AR$32+'8.IRR+FG'!AR$35</f>
        <v>-3030.8662074388631</v>
      </c>
      <c r="AI14" s="401">
        <f>'8.IRR+FG'!AS$29+'8.IRR+FG'!AS$30*(1+$D14)+'8.IRR+FG'!AS$31+'8.IRR+FG'!AS$32+'8.IRR+FG'!AS$35</f>
        <v>-2975.3767847705967</v>
      </c>
      <c r="AJ14" s="401">
        <f>'8.IRR+FG'!AT$29+'8.IRR+FG'!AT$30*(1+$D14)+'8.IRR+FG'!AT$31+'8.IRR+FG'!AT$32+'8.IRR+FG'!AT$35</f>
        <v>-2916.2451744242353</v>
      </c>
      <c r="AL14" s="401">
        <f t="shared" si="0"/>
        <v>-326691.64924378437</v>
      </c>
      <c r="AM14" s="402" t="e">
        <f t="shared" si="1"/>
        <v>#NUM!</v>
      </c>
      <c r="AO14" s="403">
        <f>IF('8.IRR+FG'!$K$40&lt;0,(-('10.Sensitivitate'!AL14-'8.IRR+FG'!$K$40)/'8.IRR+FG'!$K$40),('10.Sensitivitate'!AL14-'8.IRR+FG'!$K$40)/'8.IRR+FG'!$K$40)</f>
        <v>5.8382207259817156E-3</v>
      </c>
      <c r="AP14" s="403" t="e">
        <f>AM14-'8.IRR+FG'!$K$39</f>
        <v>#NUM!</v>
      </c>
      <c r="AR14" s="41"/>
    </row>
    <row r="15" spans="1:44" s="392" customFormat="1" ht="24" x14ac:dyDescent="0.3">
      <c r="A15" s="41"/>
      <c r="C15" s="398" t="s">
        <v>469</v>
      </c>
      <c r="D15" s="399">
        <v>-0.01</v>
      </c>
      <c r="E15" s="400" t="s">
        <v>417</v>
      </c>
      <c r="F15" s="401">
        <f>'8.IRR+FG'!P$29+'8.IRR+FG'!P$30*(1+$D15)+'8.IRR+FG'!P$31+'8.IRR+FG'!P$32+'8.IRR+FG'!P$35</f>
        <v>0</v>
      </c>
      <c r="G15" s="401">
        <f>'8.IRR+FG'!Q$29+'8.IRR+FG'!Q$30*(1+$D15)+'8.IRR+FG'!Q$31+'8.IRR+FG'!Q$32+'8.IRR+FG'!Q$35</f>
        <v>-659.5</v>
      </c>
      <c r="H15" s="401">
        <f>'8.IRR+FG'!R$29+'8.IRR+FG'!R$30*(1+$D15)+'8.IRR+FG'!R$31+'8.IRR+FG'!R$32+'8.IRR+FG'!R$35</f>
        <v>-79422.768093679013</v>
      </c>
      <c r="I15" s="401">
        <f>'8.IRR+FG'!S$29+'8.IRR+FG'!S$30*(1+$D15)+'8.IRR+FG'!S$31+'8.IRR+FG'!S$32+'8.IRR+FG'!S$35</f>
        <v>-144693.64760317546</v>
      </c>
      <c r="J15" s="401">
        <f>'8.IRR+FG'!T$29+'8.IRR+FG'!T$30*(1+$D15)+'8.IRR+FG'!T$31+'8.IRR+FG'!T$32+'8.IRR+FG'!T$35</f>
        <v>-77155.234207245012</v>
      </c>
      <c r="K15" s="401">
        <f>'8.IRR+FG'!U$29+'8.IRR+FG'!U$30*(1+$D15)+'8.IRR+FG'!U$31+'8.IRR+FG'!U$32+'8.IRR+FG'!U$35</f>
        <v>-4445.4006656854654</v>
      </c>
      <c r="L15" s="401">
        <f>'8.IRR+FG'!V$29+'8.IRR+FG'!V$30*(1+$D15)+'8.IRR+FG'!V$31+'8.IRR+FG'!V$32+'8.IRR+FG'!V$35</f>
        <v>-4100.3149856075797</v>
      </c>
      <c r="M15" s="401">
        <f>'8.IRR+FG'!W$29+'8.IRR+FG'!W$30*(1+$D15)+'8.IRR+FG'!W$31+'8.IRR+FG'!W$32+'8.IRR+FG'!W$35</f>
        <v>-3755.2533862216587</v>
      </c>
      <c r="N15" s="401">
        <f>'8.IRR+FG'!X$29+'8.IRR+FG'!X$30*(1+$D15)+'8.IRR+FG'!X$31+'8.IRR+FG'!X$32+'8.IRR+FG'!X$35</f>
        <v>-3409.2325922136442</v>
      </c>
      <c r="O15" s="401">
        <f>'8.IRR+FG'!Y$29+'8.IRR+FG'!Y$30*(1+$D15)+'8.IRR+FG'!Y$31+'8.IRR+FG'!Y$32+'8.IRR+FG'!Y$35</f>
        <v>-3375.0957999257707</v>
      </c>
      <c r="P15" s="401">
        <f>'8.IRR+FG'!Z$29+'8.IRR+FG'!Z$30*(1+$D15)+'8.IRR+FG'!Z$31+'8.IRR+FG'!Z$32+'8.IRR+FG'!Z$35</f>
        <v>-3338.1261659156871</v>
      </c>
      <c r="Q15" s="401">
        <f>'8.IRR+FG'!AA$29+'8.IRR+FG'!AA$30*(1+$D15)+'8.IRR+FG'!AA$31+'8.IRR+FG'!AA$32+'8.IRR+FG'!AA$35</f>
        <v>-3298.4445178359974</v>
      </c>
      <c r="R15" s="401">
        <f>'8.IRR+FG'!AB$29+'8.IRR+FG'!AB$30*(1+$D15)+'8.IRR+FG'!AB$31+'8.IRR+FG'!AB$32+'8.IRR+FG'!AB$35</f>
        <v>-3256.1644243593619</v>
      </c>
      <c r="S15" s="401">
        <f>'8.IRR+FG'!AC$29+'8.IRR+FG'!AC$30*(1+$D15)+'8.IRR+FG'!AC$31+'8.IRR+FG'!AC$32+'8.IRR+FG'!AC$35</f>
        <v>-3211.374466733776</v>
      </c>
      <c r="T15" s="401">
        <f>'8.IRR+FG'!AD$29+'8.IRR+FG'!AD$30*(1+$D15)+'8.IRR+FG'!AD$31+'8.IRR+FG'!AD$32+'8.IRR+FG'!AD$35</f>
        <v>-3259.3442060260477</v>
      </c>
      <c r="U15" s="401">
        <f>'8.IRR+FG'!AE$29+'8.IRR+FG'!AE$30*(1+$D15)+'8.IRR+FG'!AE$31+'8.IRR+FG'!AE$32+'8.IRR+FG'!AE$35</f>
        <v>-3304.7191266634245</v>
      </c>
      <c r="V15" s="401">
        <f>'8.IRR+FG'!AF$29+'8.IRR+FG'!AF$30*(1+$D15)+'8.IRR+FG'!AF$31+'8.IRR+FG'!AF$32+'8.IRR+FG'!AF$35</f>
        <v>-3347.6187189487691</v>
      </c>
      <c r="W15" s="401">
        <f>'8.IRR+FG'!AG$29+'8.IRR+FG'!AG$30*(1+$D15)+'8.IRR+FG'!AG$31+'8.IRR+FG'!AG$32+'8.IRR+FG'!AG$35</f>
        <v>-3388.1594877938469</v>
      </c>
      <c r="X15" s="401">
        <f>'8.IRR+FG'!AH$29+'8.IRR+FG'!AH$30*(1+$D15)+'8.IRR+FG'!AH$31+'8.IRR+FG'!AH$32+'8.IRR+FG'!AH$35</f>
        <v>-3426.4550401383412</v>
      </c>
      <c r="Y15" s="401">
        <f>'8.IRR+FG'!AI$29+'8.IRR+FG'!AI$30*(1+$D15)+'8.IRR+FG'!AI$31+'8.IRR+FG'!AI$32+'8.IRR+FG'!AI$35</f>
        <v>-3462.61617109704</v>
      </c>
      <c r="Z15" s="401">
        <f>'8.IRR+FG'!AJ$29+'8.IRR+FG'!AJ$30*(1+$D15)+'8.IRR+FG'!AJ$31+'8.IRR+FG'!AJ$32+'8.IRR+FG'!AJ$35</f>
        <v>-3496.7509489000122</v>
      </c>
      <c r="AA15" s="401">
        <f>'8.IRR+FG'!AK$29+'8.IRR+FG'!AK$30*(1+$D15)+'8.IRR+FG'!AK$31+'8.IRR+FG'!AK$32+'8.IRR+FG'!AK$35</f>
        <v>-3581.1912561805912</v>
      </c>
      <c r="AB15" s="401">
        <f>'8.IRR+FG'!AL$29+'8.IRR+FG'!AL$30*(1+$D15)+'8.IRR+FG'!AL$31+'8.IRR+FG'!AL$32+'8.IRR+FG'!AL$35</f>
        <v>-3640.8473463562877</v>
      </c>
      <c r="AC15" s="401">
        <f>'8.IRR+FG'!AM$29+'8.IRR+FG'!AM$30*(1+$D15)+'8.IRR+FG'!AM$31+'8.IRR+FG'!AM$32+'8.IRR+FG'!AM$35</f>
        <v>-3696.4839308045703</v>
      </c>
      <c r="AD15" s="401">
        <f>'8.IRR+FG'!AN$29+'8.IRR+FG'!AN$30*(1+$D15)+'8.IRR+FG'!AN$31+'8.IRR+FG'!AN$32+'8.IRR+FG'!AN$35</f>
        <v>-3748.12006548114</v>
      </c>
      <c r="AE15" s="401">
        <f>'8.IRR+FG'!AO$29+'8.IRR+FG'!AO$30*(1+$D15)+'8.IRR+FG'!AO$31+'8.IRR+FG'!AO$32+'8.IRR+FG'!AO$35</f>
        <v>-3795.7854612260999</v>
      </c>
      <c r="AF15" s="401">
        <f>'8.IRR+FG'!AP$29+'8.IRR+FG'!AP$30*(1+$D15)+'8.IRR+FG'!AP$31+'8.IRR+FG'!AP$32+'8.IRR+FG'!AP$35</f>
        <v>-3839.5095448316206</v>
      </c>
      <c r="AG15" s="401">
        <f>'8.IRR+FG'!AQ$29+'8.IRR+FG'!AQ$30*(1+$D15)+'8.IRR+FG'!AQ$31+'8.IRR+FG'!AQ$32+'8.IRR+FG'!AQ$35</f>
        <v>-3879.3214805057287</v>
      </c>
      <c r="AH15" s="401">
        <f>'8.IRR+FG'!AR$29+'8.IRR+FG'!AR$30*(1+$D15)+'8.IRR+FG'!AR$31+'8.IRR+FG'!AR$32+'8.IRR+FG'!AR$35</f>
        <v>-3915.2501920313298</v>
      </c>
      <c r="AI15" s="401">
        <f>'8.IRR+FG'!AS$29+'8.IRR+FG'!AS$30*(1+$D15)+'8.IRR+FG'!AS$31+'8.IRR+FG'!AS$32+'8.IRR+FG'!AS$35</f>
        <v>-3947.3243856604822</v>
      </c>
      <c r="AJ15" s="401">
        <f>'8.IRR+FG'!AT$29+'8.IRR+FG'!AT$30*(1+$D15)+'8.IRR+FG'!AT$31+'8.IRR+FG'!AT$32+'8.IRR+FG'!AT$35</f>
        <v>-3975.5725737860921</v>
      </c>
      <c r="AL15" s="401">
        <f t="shared" si="0"/>
        <v>-330528.6464382016</v>
      </c>
      <c r="AM15" s="402" t="e">
        <f t="shared" si="1"/>
        <v>#NUM!</v>
      </c>
      <c r="AO15" s="403">
        <f>IF('8.IRR+FG'!$K$40&lt;0,(-('10.Sensitivitate'!AL15-'8.IRR+FG'!$K$40)/'8.IRR+FG'!$K$40),('10.Sensitivitate'!AL15-'8.IRR+FG'!$K$40)/'8.IRR+FG'!$K$40)</f>
        <v>-5.8382208564742664E-3</v>
      </c>
      <c r="AP15" s="403" t="e">
        <f>AM15-'8.IRR+FG'!$K$39</f>
        <v>#NUM!</v>
      </c>
      <c r="AR15" s="41"/>
    </row>
    <row r="16" spans="1:44" s="392" customFormat="1" ht="16.5" x14ac:dyDescent="0.3">
      <c r="A16" s="41"/>
      <c r="C16" s="398" t="s">
        <v>470</v>
      </c>
      <c r="D16" s="399">
        <v>9.9999997764825821E-3</v>
      </c>
      <c r="E16" s="400" t="s">
        <v>417</v>
      </c>
      <c r="F16" s="401">
        <f>'8.IRR+FG'!P$29*(1+$D16)+'8.IRR+FG'!P$30+'8.IRR+FG'!P$31+'8.IRR+FG'!P$32+'8.IRR+FG'!P$35</f>
        <v>0</v>
      </c>
      <c r="G16" s="401">
        <f>'8.IRR+FG'!Q$29*(1+$D16)+'8.IRR+FG'!Q$30+'8.IRR+FG'!Q$31+'8.IRR+FG'!Q$32+'8.IRR+FG'!Q$35</f>
        <v>-659.5</v>
      </c>
      <c r="H16" s="401">
        <f>'8.IRR+FG'!R$29*(1+$D16)+'8.IRR+FG'!R$30+'8.IRR+FG'!R$31+'8.IRR+FG'!R$32+'8.IRR+FG'!R$35</f>
        <v>-79422.768093679013</v>
      </c>
      <c r="I16" s="401">
        <f>'8.IRR+FG'!S$29*(1+$D16)+'8.IRR+FG'!S$30+'8.IRR+FG'!S$31+'8.IRR+FG'!S$32+'8.IRR+FG'!S$35</f>
        <v>-144703.97917047041</v>
      </c>
      <c r="J16" s="401">
        <f>'8.IRR+FG'!T$29*(1+$D16)+'8.IRR+FG'!T$30+'8.IRR+FG'!T$31+'8.IRR+FG'!T$32+'8.IRR+FG'!T$35</f>
        <v>-77182.081340412566</v>
      </c>
      <c r="K16" s="401">
        <f>'8.IRR+FG'!U$29*(1+$D16)+'8.IRR+FG'!U$30+'8.IRR+FG'!U$31+'8.IRR+FG'!U$32+'8.IRR+FG'!U$35</f>
        <v>-4489.2155627841003</v>
      </c>
      <c r="L16" s="401">
        <f>'8.IRR+FG'!V$29*(1+$D16)+'8.IRR+FG'!V$30+'8.IRR+FG'!V$31+'8.IRR+FG'!V$32+'8.IRR+FG'!V$35</f>
        <v>-4140.6873220739399</v>
      </c>
      <c r="M16" s="401">
        <f>'8.IRR+FG'!W$29*(1+$D16)+'8.IRR+FG'!W$30+'8.IRR+FG'!W$31+'8.IRR+FG'!W$32+'8.IRR+FG'!W$35</f>
        <v>-3792.1824074122724</v>
      </c>
      <c r="N16" s="401">
        <f>'8.IRR+FG'!X$29*(1+$D16)+'8.IRR+FG'!X$30+'8.IRR+FG'!X$31+'8.IRR+FG'!X$32+'8.IRR+FG'!X$35</f>
        <v>-3442.7078853520125</v>
      </c>
      <c r="O16" s="401">
        <f>'8.IRR+FG'!Y$29*(1+$D16)+'8.IRR+FG'!Y$30+'8.IRR+FG'!Y$31+'8.IRR+FG'!Y$32+'8.IRR+FG'!Y$35</f>
        <v>-3408.2315619814563</v>
      </c>
      <c r="P16" s="401">
        <f>'8.IRR+FG'!Z$29*(1+$D16)+'8.IRR+FG'!Z$30+'8.IRR+FG'!Z$31+'8.IRR+FG'!Z$32+'8.IRR+FG'!Z$35</f>
        <v>-3370.8933053626952</v>
      </c>
      <c r="Q16" s="401">
        <f>'8.IRR+FG'!AA$29*(1+$D16)+'8.IRR+FG'!AA$30+'8.IRR+FG'!AA$31+'8.IRR+FG'!AA$32+'8.IRR+FG'!AA$35</f>
        <v>-3330.8150341068049</v>
      </c>
      <c r="R16" s="401">
        <f>'8.IRR+FG'!AB$29*(1+$D16)+'8.IRR+FG'!AB$30+'8.IRR+FG'!AB$31+'8.IRR+FG'!AB$32+'8.IRR+FG'!AB$35</f>
        <v>-3288.1113355169746</v>
      </c>
      <c r="S16" s="401">
        <f>'8.IRR+FG'!AC$29*(1+$D16)+'8.IRR+FG'!AC$30+'8.IRR+FG'!AC$31+'8.IRR+FG'!AC$32+'8.IRR+FG'!AC$35</f>
        <v>-3242.8717365253415</v>
      </c>
      <c r="T16" s="401">
        <f>'8.IRR+FG'!AD$29*(1+$D16)+'8.IRR+FG'!AD$30+'8.IRR+FG'!AD$31+'8.IRR+FG'!AD$32+'8.IRR+FG'!AD$35</f>
        <v>-3291.3173326980504</v>
      </c>
      <c r="U16" s="401">
        <f>'8.IRR+FG'!AE$29*(1+$D16)+'8.IRR+FG'!AE$30+'8.IRR+FG'!AE$31+'8.IRR+FG'!AE$32+'8.IRR+FG'!AE$35</f>
        <v>-3337.1411607486316</v>
      </c>
      <c r="V16" s="401">
        <f>'8.IRR+FG'!AF$29*(1+$D16)+'8.IRR+FG'!AF$30+'8.IRR+FG'!AF$31+'8.IRR+FG'!AF$32+'8.IRR+FG'!AF$35</f>
        <v>-3380.4638697334121</v>
      </c>
      <c r="W16" s="401">
        <f>'8.IRR+FG'!AG$29*(1+$D16)+'8.IRR+FG'!AG$30+'8.IRR+FG'!AG$31+'8.IRR+FG'!AG$32+'8.IRR+FG'!AG$35</f>
        <v>-3421.4030914003997</v>
      </c>
      <c r="X16" s="401">
        <f>'8.IRR+FG'!AH$29*(1+$D16)+'8.IRR+FG'!AH$30+'8.IRR+FG'!AH$31+'8.IRR+FG'!AH$32+'8.IRR+FG'!AH$35</f>
        <v>-3460.0735283833037</v>
      </c>
      <c r="Y16" s="401">
        <f>'8.IRR+FG'!AI$29*(1+$D16)+'8.IRR+FG'!AI$30+'8.IRR+FG'!AI$31+'8.IRR+FG'!AI$32+'8.IRR+FG'!AI$35</f>
        <v>-3496.5870411059586</v>
      </c>
      <c r="Z16" s="401">
        <f>'8.IRR+FG'!AJ$29*(1+$D16)+'8.IRR+FG'!AJ$30+'8.IRR+FG'!AJ$31+'8.IRR+FG'!AJ$32+'8.IRR+FG'!AJ$35</f>
        <v>-3531.052733462413</v>
      </c>
      <c r="AA16" s="401">
        <f>'8.IRR+FG'!AK$29*(1+$D16)+'8.IRR+FG'!AK$30+'8.IRR+FG'!AK$31+'8.IRR+FG'!AK$32+'8.IRR+FG'!AK$35</f>
        <v>-3615.681141011908</v>
      </c>
      <c r="AB16" s="401">
        <f>'8.IRR+FG'!AL$29*(1+$D16)+'8.IRR+FG'!AL$30+'8.IRR+FG'!AL$31+'8.IRR+FG'!AL$32+'8.IRR+FG'!AL$35</f>
        <v>-3675.4865078346629</v>
      </c>
      <c r="AC16" s="401">
        <f>'8.IRR+FG'!AM$29*(1+$D16)+'8.IRR+FG'!AM$30+'8.IRR+FG'!AM$31+'8.IRR+FG'!AM$32+'8.IRR+FG'!AM$35</f>
        <v>-3731.2337490753962</v>
      </c>
      <c r="AD16" s="401">
        <f>'8.IRR+FG'!AN$29*(1+$D16)+'8.IRR+FG'!AN$30+'8.IRR+FG'!AN$31+'8.IRR+FG'!AN$32+'8.IRR+FG'!AN$35</f>
        <v>-3782.9421194323731</v>
      </c>
      <c r="AE16" s="401">
        <f>'8.IRR+FG'!AO$29*(1+$D16)+'8.IRR+FG'!AO$30+'8.IRR+FG'!AO$31+'8.IRR+FG'!AO$32+'8.IRR+FG'!AO$35</f>
        <v>-3830.641523053273</v>
      </c>
      <c r="AF16" s="401">
        <f>'8.IRR+FG'!AP$29*(1+$D16)+'8.IRR+FG'!AP$30+'8.IRR+FG'!AP$31+'8.IRR+FG'!AP$32+'8.IRR+FG'!AP$35</f>
        <v>-3874.361574655959</v>
      </c>
      <c r="AG16" s="401">
        <f>'8.IRR+FG'!AQ$29*(1+$D16)+'8.IRR+FG'!AQ$30+'8.IRR+FG'!AQ$31+'8.IRR+FG'!AQ$32+'8.IRR+FG'!AQ$35</f>
        <v>-3914.1316210444347</v>
      </c>
      <c r="AH16" s="401">
        <f>'8.IRR+FG'!AR$29*(1+$D16)+'8.IRR+FG'!AR$30+'8.IRR+FG'!AR$31+'8.IRR+FG'!AR$32+'8.IRR+FG'!AR$35</f>
        <v>-3949.9807633192104</v>
      </c>
      <c r="AI16" s="401">
        <f>'8.IRR+FG'!AS$29*(1+$D16)+'8.IRR+FG'!AS$30+'8.IRR+FG'!AS$31+'8.IRR+FG'!AS$32+'8.IRR+FG'!AS$35</f>
        <v>-3981.937879822297</v>
      </c>
      <c r="AJ16" s="401">
        <f>'8.IRR+FG'!AT$29*(1+$D16)+'8.IRR+FG'!AT$30+'8.IRR+FG'!AT$31+'8.IRR+FG'!AT$32+'8.IRR+FG'!AT$35</f>
        <v>-4010.0316498588218</v>
      </c>
      <c r="AL16" s="401">
        <f t="shared" si="0"/>
        <v>-331054.671255439</v>
      </c>
      <c r="AM16" s="402" t="e">
        <f t="shared" si="1"/>
        <v>#NUM!</v>
      </c>
      <c r="AO16" s="403">
        <f>IF('8.IRR+FG'!$K$40&lt;0,(-('10.Sensitivitate'!AL16-'8.IRR+FG'!$K$40)/'8.IRR+FG'!$K$40),('10.Sensitivitate'!AL16-'8.IRR+FG'!$K$40)/'8.IRR+FG'!$K$40)</f>
        <v>-7.4389773173680132E-3</v>
      </c>
      <c r="AP16" s="403" t="e">
        <f>AM16-'8.IRR+FG'!$K$39</f>
        <v>#NUM!</v>
      </c>
      <c r="AR16" s="41"/>
    </row>
    <row r="17" spans="1:44" s="392" customFormat="1" ht="16.5" x14ac:dyDescent="0.3">
      <c r="A17" s="41"/>
      <c r="C17" s="398" t="s">
        <v>471</v>
      </c>
      <c r="D17" s="399">
        <v>-0.01</v>
      </c>
      <c r="E17" s="400" t="s">
        <v>417</v>
      </c>
      <c r="F17" s="401">
        <f>'8.IRR+FG'!P$29*(1+$D17)+'8.IRR+FG'!P$30+'8.IRR+FG'!P$31+'8.IRR+FG'!P$32+'8.IRR+FG'!P$35</f>
        <v>0</v>
      </c>
      <c r="G17" s="401">
        <f>'8.IRR+FG'!Q$29*(1+$D17)+'8.IRR+FG'!Q$30+'8.IRR+FG'!Q$31+'8.IRR+FG'!Q$32+'8.IRR+FG'!Q$35</f>
        <v>-659.5</v>
      </c>
      <c r="H17" s="401">
        <f>'8.IRR+FG'!R$29*(1+$D17)+'8.IRR+FG'!R$30+'8.IRR+FG'!R$31+'8.IRR+FG'!R$32+'8.IRR+FG'!R$35</f>
        <v>-79422.768093679013</v>
      </c>
      <c r="I17" s="401">
        <f>'8.IRR+FG'!S$29*(1+$D17)+'8.IRR+FG'!S$30+'8.IRR+FG'!S$31+'8.IRR+FG'!S$32+'8.IRR+FG'!S$35</f>
        <v>-144655.35137901505</v>
      </c>
      <c r="J17" s="401">
        <f>'8.IRR+FG'!T$29*(1+$D17)+'8.IRR+FG'!T$30+'8.IRR+FG'!T$31+'8.IRR+FG'!T$32+'8.IRR+FG'!T$35</f>
        <v>-77053.742698665723</v>
      </c>
      <c r="K17" s="401">
        <f>'8.IRR+FG'!U$29*(1+$D17)+'8.IRR+FG'!U$30+'8.IRR+FG'!U$31+'8.IRR+FG'!U$32+'8.IRR+FG'!U$35</f>
        <v>-4273.7643361059581</v>
      </c>
      <c r="L17" s="401">
        <f>'8.IRR+FG'!V$29*(1+$D17)+'8.IRR+FG'!V$30+'8.IRR+FG'!V$31+'8.IRR+FG'!V$32+'8.IRR+FG'!V$35</f>
        <v>-3933.7804313584966</v>
      </c>
      <c r="M17" s="401">
        <f>'8.IRR+FG'!W$29*(1+$D17)+'8.IRR+FG'!W$30+'8.IRR+FG'!W$31+'8.IRR+FG'!W$32+'8.IRR+FG'!W$35</f>
        <v>-3593.6222723079063</v>
      </c>
      <c r="N17" s="401">
        <f>'8.IRR+FG'!X$29*(1+$D17)+'8.IRR+FG'!X$30+'8.IRR+FG'!X$31+'8.IRR+FG'!X$32+'8.IRR+FG'!X$35</f>
        <v>-3252.3511656744777</v>
      </c>
      <c r="O17" s="401">
        <f>'8.IRR+FG'!Y$29*(1+$D17)+'8.IRR+FG'!Y$30+'8.IRR+FG'!Y$31+'8.IRR+FG'!Y$32+'8.IRR+FG'!Y$35</f>
        <v>-3218.9212701814467</v>
      </c>
      <c r="P17" s="401">
        <f>'8.IRR+FG'!Z$29*(1+$D17)+'8.IRR+FG'!Z$30+'8.IRR+FG'!Z$31+'8.IRR+FG'!Z$32+'8.IRR+FG'!Z$35</f>
        <v>-3182.5350029475721</v>
      </c>
      <c r="Q17" s="401">
        <f>'8.IRR+FG'!AA$29*(1+$D17)+'8.IRR+FG'!AA$30+'8.IRR+FG'!AA$31+'8.IRR+FG'!AA$32+'8.IRR+FG'!AA$35</f>
        <v>-3143.2886371130971</v>
      </c>
      <c r="R17" s="401">
        <f>'8.IRR+FG'!AB$29*(1+$D17)+'8.IRR+FG'!AB$30+'8.IRR+FG'!AB$31+'8.IRR+FG'!AB$32+'8.IRR+FG'!AB$35</f>
        <v>-3101.2713115373372</v>
      </c>
      <c r="S17" s="401">
        <f>'8.IRR+FG'!AC$29*(1+$D17)+'8.IRR+FG'!AC$30+'8.IRR+FG'!AC$31+'8.IRR+FG'!AC$32+'8.IRR+FG'!AC$35</f>
        <v>-3056.5826360944593</v>
      </c>
      <c r="T17" s="401">
        <f>'8.IRR+FG'!AD$29*(1+$D17)+'8.IRR+FG'!AD$30+'8.IRR+FG'!AD$31+'8.IRR+FG'!AD$32+'8.IRR+FG'!AD$35</f>
        <v>-3103.3084198338602</v>
      </c>
      <c r="U17" s="401">
        <f>'8.IRR+FG'!AE$29*(1+$D17)+'8.IRR+FG'!AE$30+'8.IRR+FG'!AE$31+'8.IRR+FG'!AE$32+'8.IRR+FG'!AE$35</f>
        <v>-3147.2660785747175</v>
      </c>
      <c r="V17" s="401">
        <f>'8.IRR+FG'!AF$29*(1+$D17)+'8.IRR+FG'!AF$30+'8.IRR+FG'!AF$31+'8.IRR+FG'!AF$32+'8.IRR+FG'!AF$35</f>
        <v>-3188.5667139739999</v>
      </c>
      <c r="W17" s="401">
        <f>'8.IRR+FG'!AG$29*(1+$D17)+'8.IRR+FG'!AG$30+'8.IRR+FG'!AG$31+'8.IRR+FG'!AG$32+'8.IRR+FG'!AG$35</f>
        <v>-3227.318061554899</v>
      </c>
      <c r="X17" s="401">
        <f>'8.IRR+FG'!AH$29*(1+$D17)+'8.IRR+FG'!AH$30+'8.IRR+FG'!AH$31+'8.IRR+FG'!AH$32+'8.IRR+FG'!AH$35</f>
        <v>-3263.6245575112534</v>
      </c>
      <c r="Y17" s="401">
        <f>'8.IRR+FG'!AI$29*(1+$D17)+'8.IRR+FG'!AI$30+'8.IRR+FG'!AI$31+'8.IRR+FG'!AI$32+'8.IRR+FG'!AI$35</f>
        <v>-3297.5874032527317</v>
      </c>
      <c r="Z17" s="401">
        <f>'8.IRR+FG'!AJ$29*(1+$D17)+'8.IRR+FG'!AJ$30+'8.IRR+FG'!AJ$31+'8.IRR+FG'!AJ$32+'8.IRR+FG'!AJ$35</f>
        <v>-3329.3046277051326</v>
      </c>
      <c r="AA17" s="401">
        <f>'8.IRR+FG'!AK$29*(1+$D17)+'8.IRR+FG'!AK$30+'8.IRR+FG'!AK$31+'8.IRR+FG'!AK$32+'8.IRR+FG'!AK$35</f>
        <v>-3282.2965666977689</v>
      </c>
      <c r="AB17" s="401">
        <f>'8.IRR+FG'!AL$29*(1+$D17)+'8.IRR+FG'!AL$30+'8.IRR+FG'!AL$31+'8.IRR+FG'!AL$32+'8.IRR+FG'!AL$35</f>
        <v>-3252.3467289028777</v>
      </c>
      <c r="AC17" s="401">
        <f>'8.IRR+FG'!AM$29*(1+$D17)+'8.IRR+FG'!AM$30+'8.IRR+FG'!AM$31+'8.IRR+FG'!AM$32+'8.IRR+FG'!AM$35</f>
        <v>-3218.7310448951794</v>
      </c>
      <c r="AD17" s="401">
        <f>'8.IRR+FG'!AN$29*(1+$D17)+'8.IRR+FG'!AN$30+'8.IRR+FG'!AN$31+'8.IRR+FG'!AN$32+'8.IRR+FG'!AN$35</f>
        <v>-3181.4700084870856</v>
      </c>
      <c r="AE17" s="401">
        <f>'8.IRR+FG'!AO$29*(1+$D17)+'8.IRR+FG'!AO$30+'8.IRR+FG'!AO$31+'8.IRR+FG'!AO$32+'8.IRR+FG'!AO$35</f>
        <v>-3140.5723770933982</v>
      </c>
      <c r="AF17" s="401">
        <f>'8.IRR+FG'!AP$29*(1+$D17)+'8.IRR+FG'!AP$30+'8.IRR+FG'!AP$31+'8.IRR+FG'!AP$32+'8.IRR+FG'!AP$35</f>
        <v>-3096.0461211847141</v>
      </c>
      <c r="AG17" s="401">
        <f>'8.IRR+FG'!AQ$29*(1+$D17)+'8.IRR+FG'!AQ$30+'8.IRR+FG'!AQ$31+'8.IRR+FG'!AQ$32+'8.IRR+FG'!AQ$35</f>
        <v>-3047.8984131982579</v>
      </c>
      <c r="AH17" s="401">
        <f>'8.IRR+FG'!AR$29*(1+$D17)+'8.IRR+FG'!AR$30+'8.IRR+FG'!AR$31+'8.IRR+FG'!AR$32+'8.IRR+FG'!AR$35</f>
        <v>-2996.1356156071706</v>
      </c>
      <c r="AI17" s="401">
        <f>'8.IRR+FG'!AS$29*(1+$D17)+'8.IRR+FG'!AS$30+'8.IRR+FG'!AS$31+'8.IRR+FG'!AS$32+'8.IRR+FG'!AS$35</f>
        <v>-2940.7632681103933</v>
      </c>
      <c r="AJ17" s="401">
        <f>'8.IRR+FG'!AT$29*(1+$D17)+'8.IRR+FG'!AT$30+'8.IRR+FG'!AT$31+'8.IRR+FG'!AT$32+'8.IRR+FG'!AT$35</f>
        <v>-2881.7860739034732</v>
      </c>
      <c r="AL17" s="401">
        <f t="shared" si="0"/>
        <v>-326165.62432902592</v>
      </c>
      <c r="AM17" s="402" t="e">
        <f t="shared" si="1"/>
        <v>#NUM!</v>
      </c>
      <c r="AO17" s="403">
        <f>IF('8.IRR+FG'!$K$40&lt;0,(-('10.Sensitivitate'!AL17-'8.IRR+FG'!$K$40)/'8.IRR+FG'!$K$40),('10.Sensitivitate'!AL17-'8.IRR+FG'!$K$40)/'8.IRR+FG'!$K$40)</f>
        <v>7.4389774836437078E-3</v>
      </c>
      <c r="AP17" s="403" t="e">
        <f>AM17-'8.IRR+FG'!$K$39</f>
        <v>#NUM!</v>
      </c>
      <c r="AR17" s="41"/>
    </row>
    <row r="18" spans="1:44" s="392" customFormat="1" ht="16.5" x14ac:dyDescent="0.3">
      <c r="A18" s="41"/>
      <c r="C18" s="398"/>
      <c r="AR18" s="41"/>
    </row>
    <row r="19" spans="1:44" s="392" customFormat="1" ht="16.5" x14ac:dyDescent="0.3">
      <c r="A19" s="41"/>
      <c r="B19" s="41"/>
      <c r="C19" s="237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s="392" customFormat="1" ht="16.5" x14ac:dyDescent="0.3">
      <c r="A20" s="41"/>
      <c r="B20" s="41"/>
      <c r="C20" s="389" t="s">
        <v>480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41"/>
    </row>
    <row r="21" spans="1:44" s="392" customFormat="1" ht="16.5" x14ac:dyDescent="0.3">
      <c r="A21" s="41"/>
      <c r="B21" s="41"/>
      <c r="C21" s="716"/>
      <c r="D21" s="717"/>
      <c r="E21" s="717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41"/>
    </row>
    <row r="22" spans="1:44" s="392" customFormat="1" ht="16.5" x14ac:dyDescent="0.3">
      <c r="A22" s="41"/>
      <c r="C22" s="404"/>
      <c r="D22" s="405"/>
      <c r="E22" s="405"/>
      <c r="AR22" s="41"/>
    </row>
    <row r="23" spans="1:44" s="392" customFormat="1" ht="24" x14ac:dyDescent="0.3">
      <c r="A23" s="41"/>
      <c r="C23" s="393" t="s">
        <v>472</v>
      </c>
      <c r="D23" s="394" t="s">
        <v>460</v>
      </c>
      <c r="E23" s="395" t="s">
        <v>461</v>
      </c>
      <c r="F23" s="396">
        <f>F11</f>
        <v>2023</v>
      </c>
      <c r="G23" s="395">
        <f>F23+1</f>
        <v>2024</v>
      </c>
      <c r="H23" s="395">
        <f t="shared" ref="H23:Z23" si="2">G23+1</f>
        <v>2025</v>
      </c>
      <c r="I23" s="395">
        <f t="shared" si="2"/>
        <v>2026</v>
      </c>
      <c r="J23" s="395">
        <f t="shared" si="2"/>
        <v>2027</v>
      </c>
      <c r="K23" s="395">
        <f t="shared" si="2"/>
        <v>2028</v>
      </c>
      <c r="L23" s="395">
        <f t="shared" si="2"/>
        <v>2029</v>
      </c>
      <c r="M23" s="395">
        <f t="shared" si="2"/>
        <v>2030</v>
      </c>
      <c r="N23" s="395">
        <f t="shared" si="2"/>
        <v>2031</v>
      </c>
      <c r="O23" s="395">
        <f t="shared" si="2"/>
        <v>2032</v>
      </c>
      <c r="P23" s="395">
        <f t="shared" si="2"/>
        <v>2033</v>
      </c>
      <c r="Q23" s="395">
        <f t="shared" si="2"/>
        <v>2034</v>
      </c>
      <c r="R23" s="395">
        <f t="shared" si="2"/>
        <v>2035</v>
      </c>
      <c r="S23" s="395">
        <f t="shared" si="2"/>
        <v>2036</v>
      </c>
      <c r="T23" s="395">
        <f t="shared" si="2"/>
        <v>2037</v>
      </c>
      <c r="U23" s="395">
        <f t="shared" si="2"/>
        <v>2038</v>
      </c>
      <c r="V23" s="395">
        <f t="shared" si="2"/>
        <v>2039</v>
      </c>
      <c r="W23" s="395">
        <f t="shared" si="2"/>
        <v>2040</v>
      </c>
      <c r="X23" s="395">
        <f t="shared" si="2"/>
        <v>2041</v>
      </c>
      <c r="Y23" s="394">
        <f t="shared" si="2"/>
        <v>2042</v>
      </c>
      <c r="Z23" s="394">
        <f t="shared" si="2"/>
        <v>2043</v>
      </c>
      <c r="AA23" s="394">
        <f t="shared" ref="AA23" si="3">Z23+1</f>
        <v>2044</v>
      </c>
      <c r="AB23" s="394">
        <f t="shared" ref="AB23" si="4">AA23+1</f>
        <v>2045</v>
      </c>
      <c r="AC23" s="394">
        <f t="shared" ref="AC23" si="5">AB23+1</f>
        <v>2046</v>
      </c>
      <c r="AD23" s="394">
        <f t="shared" ref="AD23" si="6">AC23+1</f>
        <v>2047</v>
      </c>
      <c r="AE23" s="394">
        <f t="shared" ref="AE23" si="7">AD23+1</f>
        <v>2048</v>
      </c>
      <c r="AF23" s="394">
        <f t="shared" ref="AF23" si="8">AE23+1</f>
        <v>2049</v>
      </c>
      <c r="AG23" s="394">
        <f t="shared" ref="AG23" si="9">AF23+1</f>
        <v>2050</v>
      </c>
      <c r="AH23" s="394">
        <f t="shared" ref="AH23" si="10">AG23+1</f>
        <v>2051</v>
      </c>
      <c r="AI23" s="394">
        <f t="shared" ref="AI23" si="11">AH23+1</f>
        <v>2052</v>
      </c>
      <c r="AJ23" s="394">
        <f t="shared" ref="AJ23" si="12">AI23+1</f>
        <v>2053</v>
      </c>
      <c r="AL23" s="395" t="s">
        <v>455</v>
      </c>
      <c r="AM23" s="395" t="s">
        <v>454</v>
      </c>
      <c r="AO23" s="397" t="s">
        <v>473</v>
      </c>
      <c r="AP23" s="397" t="s">
        <v>474</v>
      </c>
      <c r="AR23" s="41"/>
    </row>
    <row r="24" spans="1:44" s="392" customFormat="1" ht="24" x14ac:dyDescent="0.3">
      <c r="A24" s="41"/>
      <c r="C24" s="398" t="s">
        <v>475</v>
      </c>
      <c r="D24" s="399">
        <v>0.01</v>
      </c>
      <c r="E24" s="400" t="str">
        <f>E12</f>
        <v>mii lei</v>
      </c>
      <c r="F24" s="401">
        <f>'8.IRR+FG'!P$77+'8.IRR+FG'!P$84*(1+'10.Sensitivitate'!$D24)+'8.IRR+FG'!P$91</f>
        <v>0</v>
      </c>
      <c r="G24" s="401">
        <f>'8.IRR+FG'!Q$77+'8.IRR+FG'!Q$84*(1+'10.Sensitivitate'!$D24)+'8.IRR+FG'!Q$91</f>
        <v>-530.54466749999995</v>
      </c>
      <c r="H24" s="401">
        <f>'8.IRR+FG'!R$77+'8.IRR+FG'!R$84*(1+'10.Sensitivitate'!$D24)+'8.IRR+FG'!R$91</f>
        <v>-63892.83713448148</v>
      </c>
      <c r="I24" s="401">
        <f>'8.IRR+FG'!S$77+'8.IRR+FG'!S$84*(1+'10.Sensitivitate'!$D24)+'8.IRR+FG'!S$91</f>
        <v>-113815.7088315584</v>
      </c>
      <c r="J24" s="401">
        <f>'8.IRR+FG'!T$77+'8.IRR+FG'!T$84*(1+'10.Sensitivitate'!$D24)+'8.IRR+FG'!T$91</f>
        <v>-55080.975669148153</v>
      </c>
      <c r="K24" s="401">
        <f>'8.IRR+FG'!U$77+'8.IRR+FG'!U$84*(1+'10.Sensitivitate'!$D24)+'8.IRR+FG'!U$91</f>
        <v>8337.0082835022222</v>
      </c>
      <c r="L24" s="401">
        <f>'8.IRR+FG'!V$77+'8.IRR+FG'!V$84*(1+'10.Sensitivitate'!$D24)+'8.IRR+FG'!V$91</f>
        <v>8386.6742289964695</v>
      </c>
      <c r="M24" s="401">
        <f>'8.IRR+FG'!W$77+'8.IRR+FG'!W$84*(1+'10.Sensitivitate'!$D24)+'8.IRR+FG'!W$91</f>
        <v>8444.8980622168347</v>
      </c>
      <c r="N24" s="401">
        <f>'8.IRR+FG'!X$77+'8.IRR+FG'!X$84*(1+'10.Sensitivitate'!$D24)+'8.IRR+FG'!X$91</f>
        <v>8603.2143301904835</v>
      </c>
      <c r="O24" s="401">
        <f>'8.IRR+FG'!Y$77+'8.IRR+FG'!Y$84*(1+'10.Sensitivitate'!$D24)+'8.IRR+FG'!Y$91</f>
        <v>8799.116899252198</v>
      </c>
      <c r="P24" s="401">
        <f>'8.IRR+FG'!Z$77+'8.IRR+FG'!Z$84*(1+'10.Sensitivitate'!$D24)+'8.IRR+FG'!Z$91</f>
        <v>9001.6909837391759</v>
      </c>
      <c r="Q24" s="401">
        <f>'8.IRR+FG'!AA$77+'8.IRR+FG'!AA$84*(1+'10.Sensitivitate'!$D24)+'8.IRR+FG'!AA$91</f>
        <v>9211.8595383059364</v>
      </c>
      <c r="R24" s="401">
        <f>'8.IRR+FG'!AB$77+'8.IRR+FG'!AB$84*(1+'10.Sensitivitate'!$D24)+'8.IRR+FG'!AB$91</f>
        <v>9430.5436477468138</v>
      </c>
      <c r="S24" s="401">
        <f>'8.IRR+FG'!AC$77+'8.IRR+FG'!AC$84*(1+'10.Sensitivitate'!$D24)+'8.IRR+FG'!AC$91</f>
        <v>9648.8065136499572</v>
      </c>
      <c r="T24" s="401">
        <f>'8.IRR+FG'!AD$77+'8.IRR+FG'!AD$84*(1+'10.Sensitivitate'!$D24)+'8.IRR+FG'!AD$91</f>
        <v>9884.3342195257283</v>
      </c>
      <c r="U24" s="401">
        <f>'8.IRR+FG'!AE$77+'8.IRR+FG'!AE$84*(1+'10.Sensitivitate'!$D24)+'8.IRR+FG'!AE$91</f>
        <v>10128.375186836933</v>
      </c>
      <c r="V24" s="401">
        <f>'8.IRR+FG'!AF$77+'8.IRR+FG'!AF$84*(1+'10.Sensitivitate'!$D24)+'8.IRR+FG'!AF$91</f>
        <v>10381.206904177565</v>
      </c>
      <c r="W24" s="401">
        <f>'8.IRR+FG'!AG$77+'8.IRR+FG'!AG$84*(1+'10.Sensitivitate'!$D24)+'8.IRR+FG'!AG$91</f>
        <v>10643.123490710883</v>
      </c>
      <c r="X24" s="401">
        <f>'8.IRR+FG'!AH$77+'8.IRR+FG'!AH$84*(1+'10.Sensitivitate'!$D24)+'8.IRR+FG'!AH$91</f>
        <v>10914.43648261045</v>
      </c>
      <c r="Y24" s="401">
        <f>'8.IRR+FG'!AI$77+'8.IRR+FG'!AI$84*(1+'10.Sensitivitate'!$D24)+'8.IRR+FG'!AI$91</f>
        <v>11195.475659600304</v>
      </c>
      <c r="Z24" s="401">
        <f>'8.IRR+FG'!AJ$77+'8.IRR+FG'!AJ$84*(1+'10.Sensitivitate'!$D24)+'8.IRR+FG'!AJ$91</f>
        <v>11486.589913586424</v>
      </c>
      <c r="AA24" s="401">
        <f>'8.IRR+FG'!AK$77+'8.IRR+FG'!AK$84*(1+'10.Sensitivitate'!$D24)+'8.IRR+FG'!AK$91</f>
        <v>16918.830053823331</v>
      </c>
      <c r="AB24" s="401">
        <f>'8.IRR+FG'!AL$77+'8.IRR+FG'!AL$84*(1+'10.Sensitivitate'!$D24)+'8.IRR+FG'!AL$91</f>
        <v>20686.337842871602</v>
      </c>
      <c r="AC24" s="401">
        <f>'8.IRR+FG'!AM$77+'8.IRR+FG'!AM$84*(1+'10.Sensitivitate'!$D24)+'8.IRR+FG'!AM$91</f>
        <v>24449.843061151965</v>
      </c>
      <c r="AD24" s="401">
        <f>'8.IRR+FG'!AN$77+'8.IRR+FG'!AN$84*(1+'10.Sensitivitate'!$D24)+'8.IRR+FG'!AN$91</f>
        <v>28200.830027139866</v>
      </c>
      <c r="AE24" s="401">
        <f>'8.IRR+FG'!AO$77+'8.IRR+FG'!AO$84*(1+'10.Sensitivitate'!$D24)+'8.IRR+FG'!AO$91</f>
        <v>31940.123889230548</v>
      </c>
      <c r="AF24" s="401">
        <f>'8.IRR+FG'!AP$77+'8.IRR+FG'!AP$84*(1+'10.Sensitivitate'!$D24)+'8.IRR+FG'!AP$91</f>
        <v>35668.570050781156</v>
      </c>
      <c r="AG24" s="401">
        <f>'8.IRR+FG'!AQ$77+'8.IRR+FG'!AQ$84*(1+'10.Sensitivitate'!$D24)+'8.IRR+FG'!AQ$91</f>
        <v>39387.035464311928</v>
      </c>
      <c r="AH24" s="401">
        <f>'8.IRR+FG'!AR$77+'8.IRR+FG'!AR$84*(1+'10.Sensitivitate'!$D24)+'8.IRR+FG'!AR$91</f>
        <v>42859.841690140922</v>
      </c>
      <c r="AI24" s="401">
        <f>'8.IRR+FG'!AS$77+'8.IRR+FG'!AS$84*(1+'10.Sensitivitate'!$D24)+'8.IRR+FG'!AS$91</f>
        <v>46324.47120654348</v>
      </c>
      <c r="AJ24" s="401">
        <f>'8.IRR+FG'!AT$77+'8.IRR+FG'!AT$84*(1+'10.Sensitivitate'!$D24)+'8.IRR+FG'!AT$91</f>
        <v>49781.864006719537</v>
      </c>
      <c r="AL24" s="401">
        <f t="shared" ref="AL24:AL29" si="13">G24+NPV(RAS,H24:AJ24)</f>
        <v>48405.991483106198</v>
      </c>
      <c r="AM24" s="402">
        <f>IRR(G24:AJ24)</f>
        <v>4.1926214608710044E-2</v>
      </c>
      <c r="AO24" s="403">
        <f>IF('8.IRR+FG'!$K$96&lt;0,(-(AL24-'8.IRR+FG'!$K$96)/'8.IRR+FG'!$K$96),(AL24-'8.IRR+FG'!$K$96)/'8.IRR+FG'!$K$96)</f>
        <v>-4.4237011728377101E-2</v>
      </c>
      <c r="AP24" s="403">
        <f>AM24-'8.IRR+FG'!$K$95</f>
        <v>-6.3080673442472701E-4</v>
      </c>
      <c r="AR24" s="41"/>
    </row>
    <row r="25" spans="1:44" s="392" customFormat="1" ht="24" x14ac:dyDescent="0.3">
      <c r="A25" s="41"/>
      <c r="C25" s="398" t="s">
        <v>467</v>
      </c>
      <c r="D25" s="399">
        <v>-0.01</v>
      </c>
      <c r="E25" s="400" t="str">
        <f t="shared" ref="E25:E29" si="14">E13</f>
        <v>mii lei</v>
      </c>
      <c r="F25" s="401">
        <f>'8.IRR+FG'!P$77+'8.IRR+FG'!P$84*(1+'10.Sensitivitate'!$D25)+'8.IRR+FG'!P$91</f>
        <v>0</v>
      </c>
      <c r="G25" s="401">
        <f>'8.IRR+FG'!Q$77+'8.IRR+FG'!Q$84*(1+'10.Sensitivitate'!$D25)+'8.IRR+FG'!Q$91</f>
        <v>-520.03883250000001</v>
      </c>
      <c r="H25" s="401">
        <f>'8.IRR+FG'!R$77+'8.IRR+FG'!R$84*(1+'10.Sensitivitate'!$D25)+'8.IRR+FG'!R$91</f>
        <v>-62627.632438749177</v>
      </c>
      <c r="I25" s="401">
        <f>'8.IRR+FG'!S$77+'8.IRR+FG'!S$84*(1+'10.Sensitivitate'!$D25)+'8.IRR+FG'!S$91</f>
        <v>-111527.41995129401</v>
      </c>
      <c r="J25" s="401">
        <f>'8.IRR+FG'!T$77+'8.IRR+FG'!T$84*(1+'10.Sensitivitate'!$D25)+'8.IRR+FG'!T$91</f>
        <v>-53895.254816086213</v>
      </c>
      <c r="K25" s="401">
        <f>'8.IRR+FG'!U$77+'8.IRR+FG'!U$84*(1+'10.Sensitivitate'!$D25)+'8.IRR+FG'!U$91</f>
        <v>8337.0082835022222</v>
      </c>
      <c r="L25" s="401">
        <f>'8.IRR+FG'!V$77+'8.IRR+FG'!V$84*(1+'10.Sensitivitate'!$D25)+'8.IRR+FG'!V$91</f>
        <v>8386.6742289964695</v>
      </c>
      <c r="M25" s="401">
        <f>'8.IRR+FG'!W$77+'8.IRR+FG'!W$84*(1+'10.Sensitivitate'!$D25)+'8.IRR+FG'!W$91</f>
        <v>8444.8980622168347</v>
      </c>
      <c r="N25" s="401">
        <f>'8.IRR+FG'!X$77+'8.IRR+FG'!X$84*(1+'10.Sensitivitate'!$D25)+'8.IRR+FG'!X$91</f>
        <v>8603.2143301904835</v>
      </c>
      <c r="O25" s="401">
        <f>'8.IRR+FG'!Y$77+'8.IRR+FG'!Y$84*(1+'10.Sensitivitate'!$D25)+'8.IRR+FG'!Y$91</f>
        <v>8799.116899252198</v>
      </c>
      <c r="P25" s="401">
        <f>'8.IRR+FG'!Z$77+'8.IRR+FG'!Z$84*(1+'10.Sensitivitate'!$D25)+'8.IRR+FG'!Z$91</f>
        <v>9001.6909837391759</v>
      </c>
      <c r="Q25" s="401">
        <f>'8.IRR+FG'!AA$77+'8.IRR+FG'!AA$84*(1+'10.Sensitivitate'!$D25)+'8.IRR+FG'!AA$91</f>
        <v>9211.8595383059364</v>
      </c>
      <c r="R25" s="401">
        <f>'8.IRR+FG'!AB$77+'8.IRR+FG'!AB$84*(1+'10.Sensitivitate'!$D25)+'8.IRR+FG'!AB$91</f>
        <v>9430.5436477468138</v>
      </c>
      <c r="S25" s="401">
        <f>'8.IRR+FG'!AC$77+'8.IRR+FG'!AC$84*(1+'10.Sensitivitate'!$D25)+'8.IRR+FG'!AC$91</f>
        <v>9648.8065136499572</v>
      </c>
      <c r="T25" s="401">
        <f>'8.IRR+FG'!AD$77+'8.IRR+FG'!AD$84*(1+'10.Sensitivitate'!$D25)+'8.IRR+FG'!AD$91</f>
        <v>9884.3342195257283</v>
      </c>
      <c r="U25" s="401">
        <f>'8.IRR+FG'!AE$77+'8.IRR+FG'!AE$84*(1+'10.Sensitivitate'!$D25)+'8.IRR+FG'!AE$91</f>
        <v>10128.375186836933</v>
      </c>
      <c r="V25" s="401">
        <f>'8.IRR+FG'!AF$77+'8.IRR+FG'!AF$84*(1+'10.Sensitivitate'!$D25)+'8.IRR+FG'!AF$91</f>
        <v>10381.206904177565</v>
      </c>
      <c r="W25" s="401">
        <f>'8.IRR+FG'!AG$77+'8.IRR+FG'!AG$84*(1+'10.Sensitivitate'!$D25)+'8.IRR+FG'!AG$91</f>
        <v>10643.123490710883</v>
      </c>
      <c r="X25" s="401">
        <f>'8.IRR+FG'!AH$77+'8.IRR+FG'!AH$84*(1+'10.Sensitivitate'!$D25)+'8.IRR+FG'!AH$91</f>
        <v>10914.43648261045</v>
      </c>
      <c r="Y25" s="401">
        <f>'8.IRR+FG'!AI$77+'8.IRR+FG'!AI$84*(1+'10.Sensitivitate'!$D25)+'8.IRR+FG'!AI$91</f>
        <v>11195.475659600304</v>
      </c>
      <c r="Z25" s="401">
        <f>'8.IRR+FG'!AJ$77+'8.IRR+FG'!AJ$84*(1+'10.Sensitivitate'!$D25)+'8.IRR+FG'!AJ$91</f>
        <v>11486.589913586424</v>
      </c>
      <c r="AA25" s="401">
        <f>'8.IRR+FG'!AK$77+'8.IRR+FG'!AK$84*(1+'10.Sensitivitate'!$D25)+'8.IRR+FG'!AK$91</f>
        <v>16918.830053823331</v>
      </c>
      <c r="AB25" s="401">
        <f>'8.IRR+FG'!AL$77+'8.IRR+FG'!AL$84*(1+'10.Sensitivitate'!$D25)+'8.IRR+FG'!AL$91</f>
        <v>20686.337842871602</v>
      </c>
      <c r="AC25" s="401">
        <f>'8.IRR+FG'!AM$77+'8.IRR+FG'!AM$84*(1+'10.Sensitivitate'!$D25)+'8.IRR+FG'!AM$91</f>
        <v>24449.843061151965</v>
      </c>
      <c r="AD25" s="401">
        <f>'8.IRR+FG'!AN$77+'8.IRR+FG'!AN$84*(1+'10.Sensitivitate'!$D25)+'8.IRR+FG'!AN$91</f>
        <v>28200.830027139866</v>
      </c>
      <c r="AE25" s="401">
        <f>'8.IRR+FG'!AO$77+'8.IRR+FG'!AO$84*(1+'10.Sensitivitate'!$D25)+'8.IRR+FG'!AO$91</f>
        <v>31940.123889230548</v>
      </c>
      <c r="AF25" s="401">
        <f>'8.IRR+FG'!AP$77+'8.IRR+FG'!AP$84*(1+'10.Sensitivitate'!$D25)+'8.IRR+FG'!AP$91</f>
        <v>35668.570050781156</v>
      </c>
      <c r="AG25" s="401">
        <f>'8.IRR+FG'!AQ$77+'8.IRR+FG'!AQ$84*(1+'10.Sensitivitate'!$D25)+'8.IRR+FG'!AQ$91</f>
        <v>39387.035464311928</v>
      </c>
      <c r="AH25" s="401">
        <f>'8.IRR+FG'!AR$77+'8.IRR+FG'!AR$84*(1+'10.Sensitivitate'!$D25)+'8.IRR+FG'!AR$91</f>
        <v>42859.841690140922</v>
      </c>
      <c r="AI25" s="401">
        <f>'8.IRR+FG'!AS$77+'8.IRR+FG'!AS$84*(1+'10.Sensitivitate'!$D25)+'8.IRR+FG'!AS$91</f>
        <v>46324.47120654348</v>
      </c>
      <c r="AJ25" s="401">
        <f>'8.IRR+FG'!AT$77+'8.IRR+FG'!AT$84*(1+'10.Sensitivitate'!$D25)+'8.IRR+FG'!AT$91</f>
        <v>49781.864006719537</v>
      </c>
      <c r="AL25" s="401">
        <f t="shared" si="13"/>
        <v>52886.885678086895</v>
      </c>
      <c r="AM25" s="402">
        <f t="shared" ref="AM25:AM29" si="15">IRR(G25:AJ25)</f>
        <v>4.3196137098728826E-2</v>
      </c>
      <c r="AO25" s="403">
        <f>IF('8.IRR+FG'!$K$96&lt;0,(-(AL25-'8.IRR+FG'!$K$96)/'8.IRR+FG'!$K$96),(AL25-'8.IRR+FG'!$K$96)/'8.IRR+FG'!$K$96)</f>
        <v>4.4237011728375811E-2</v>
      </c>
      <c r="AP25" s="403">
        <f>AM25-'8.IRR+FG'!$K$95</f>
        <v>6.391157555940552E-4</v>
      </c>
      <c r="AR25" s="41"/>
    </row>
    <row r="26" spans="1:44" s="392" customFormat="1" ht="24" x14ac:dyDescent="0.3">
      <c r="A26" s="41"/>
      <c r="C26" s="398" t="s">
        <v>476</v>
      </c>
      <c r="D26" s="399">
        <v>9.9999997764825821E-3</v>
      </c>
      <c r="E26" s="400" t="str">
        <f t="shared" si="14"/>
        <v>mii lei</v>
      </c>
      <c r="F26" s="401">
        <f>'8.IRR+FG'!P$77+'8.IRR+FG'!P$84+'8.IRR+FG'!P$91*(1+'10.Sensitivitate'!$D26)</f>
        <v>0</v>
      </c>
      <c r="G26" s="401">
        <f>'8.IRR+FG'!Q$77+'8.IRR+FG'!Q$84+'8.IRR+FG'!Q$91*(1+'10.Sensitivitate'!$D26)</f>
        <v>-525.29174999999998</v>
      </c>
      <c r="H26" s="401">
        <f>'8.IRR+FG'!R$77+'8.IRR+FG'!R$84+'8.IRR+FG'!R$91*(1+'10.Sensitivitate'!$D26)</f>
        <v>-63260.234786615329</v>
      </c>
      <c r="I26" s="401">
        <f>'8.IRR+FG'!S$77+'8.IRR+FG'!S$84+'8.IRR+FG'!S$91*(1+'10.Sensitivitate'!$D26)</f>
        <v>-112660.42746729488</v>
      </c>
      <c r="J26" s="401">
        <f>'8.IRR+FG'!T$77+'8.IRR+FG'!T$84+'8.IRR+FG'!T$91*(1+'10.Sensitivitate'!$D26)</f>
        <v>-54458.388121345117</v>
      </c>
      <c r="K26" s="401">
        <f>'8.IRR+FG'!U$77+'8.IRR+FG'!U$84+'8.IRR+FG'!U$91*(1+'10.Sensitivitate'!$D26)</f>
        <v>8387.9131668909886</v>
      </c>
      <c r="L26" s="401">
        <f>'8.IRR+FG'!V$77+'8.IRR+FG'!V$84+'8.IRR+FG'!V$91*(1+'10.Sensitivitate'!$D26)</f>
        <v>8436.9183301844969</v>
      </c>
      <c r="M26" s="401">
        <f>'8.IRR+FG'!W$77+'8.IRR+FG'!W$84+'8.IRR+FG'!W$91*(1+'10.Sensitivitate'!$D26)</f>
        <v>8494.5606686500287</v>
      </c>
      <c r="N26" s="401">
        <f>'8.IRR+FG'!X$77+'8.IRR+FG'!X$84+'8.IRR+FG'!X$91*(1+'10.Sensitivitate'!$D26)</f>
        <v>8652.3608208716032</v>
      </c>
      <c r="O26" s="401">
        <f>'8.IRR+FG'!Y$77+'8.IRR+FG'!Y$84+'8.IRR+FG'!Y$91*(1+'10.Sensitivitate'!$D26)</f>
        <v>8848.1170865463773</v>
      </c>
      <c r="P26" s="401">
        <f>'8.IRR+FG'!Z$77+'8.IRR+FG'!Z$84+'8.IRR+FG'!Z$91*(1+'10.Sensitivitate'!$D26)</f>
        <v>9050.605649174784</v>
      </c>
      <c r="Q26" s="401">
        <f>'8.IRR+FG'!AA$77+'8.IRR+FG'!AA$84+'8.IRR+FG'!AA$91*(1+'10.Sensitivitate'!$D26)</f>
        <v>9260.758807771359</v>
      </c>
      <c r="R26" s="401">
        <f>'8.IRR+FG'!AB$77+'8.IRR+FG'!AB$84+'8.IRR+FG'!AB$91*(1+'10.Sensitivitate'!$D26)</f>
        <v>9479.5069706336653</v>
      </c>
      <c r="S26" s="401">
        <f>'8.IRR+FG'!AC$77+'8.IRR+FG'!AC$84+'8.IRR+FG'!AC$91*(1+'10.Sensitivitate'!$D26)</f>
        <v>9697.908570580923</v>
      </c>
      <c r="T26" s="401">
        <f>'8.IRR+FG'!AD$77+'8.IRR+FG'!AD$84+'8.IRR+FG'!AD$91*(1+'10.Sensitivitate'!$D26)</f>
        <v>9933.7421717385005</v>
      </c>
      <c r="U26" s="401">
        <f>'8.IRR+FG'!AE$77+'8.IRR+FG'!AE$84+'8.IRR+FG'!AE$91*(1+'10.Sensitivitate'!$D26)</f>
        <v>10178.168786205757</v>
      </c>
      <c r="V26" s="401">
        <f>'8.IRR+FG'!AF$77+'8.IRR+FG'!AF$84+'8.IRR+FG'!AF$91*(1+'10.Sensitivitate'!$D26)</f>
        <v>10431.468781881249</v>
      </c>
      <c r="W26" s="401">
        <f>'8.IRR+FG'!AG$77+'8.IRR+FG'!AG$84+'8.IRR+FG'!AG$91*(1+'10.Sensitivitate'!$D26)</f>
        <v>10693.93932157458</v>
      </c>
      <c r="X26" s="401">
        <f>'8.IRR+FG'!AH$77+'8.IRR+FG'!AH$84+'8.IRR+FG'!AH$91*(1+'10.Sensitivitate'!$D26)</f>
        <v>10965.895157348587</v>
      </c>
      <c r="Y26" s="401">
        <f>'8.IRR+FG'!AI$77+'8.IRR+FG'!AI$84+'8.IRR+FG'!AI$91*(1+'10.Sensitivitate'!$D26)</f>
        <v>11247.669465360919</v>
      </c>
      <c r="Z26" s="401">
        <f>'8.IRR+FG'!AJ$77+'8.IRR+FG'!AJ$84+'8.IRR+FG'!AJ$91*(1+'10.Sensitivitate'!$D26)</f>
        <v>11539.614723217173</v>
      </c>
      <c r="AA26" s="401">
        <f>'8.IRR+FG'!AK$77+'8.IRR+FG'!AK$84+'8.IRR+FG'!AK$91*(1+'10.Sensitivitate'!$D26)</f>
        <v>17024.129263438346</v>
      </c>
      <c r="AB26" s="401">
        <f>'8.IRR+FG'!AL$77+'8.IRR+FG'!AL$84+'8.IRR+FG'!AL$91*(1+'10.Sensitivitate'!$D26)</f>
        <v>20827.263162680425</v>
      </c>
      <c r="AC26" s="401">
        <f>'8.IRR+FG'!AM$77+'8.IRR+FG'!AM$84+'8.IRR+FG'!AM$91*(1+'10.Sensitivitate'!$D26)</f>
        <v>24626.269026614555</v>
      </c>
      <c r="AD26" s="401">
        <f>'8.IRR+FG'!AN$77+'8.IRR+FG'!AN$84+'8.IRR+FG'!AN$91*(1+'10.Sensitivitate'!$D26)</f>
        <v>28412.630521940533</v>
      </c>
      <c r="AE26" s="401">
        <f>'8.IRR+FG'!AO$77+'8.IRR+FG'!AO$84+'8.IRR+FG'!AO$91*(1+'10.Sensitivitate'!$D26)</f>
        <v>32187.181064770215</v>
      </c>
      <c r="AF26" s="401">
        <f>'8.IRR+FG'!AP$77+'8.IRR+FG'!AP$84+'8.IRR+FG'!AP$91*(1+'10.Sensitivitate'!$D26)</f>
        <v>35950.774528599111</v>
      </c>
      <c r="AG26" s="401">
        <f>'8.IRR+FG'!AQ$77+'8.IRR+FG'!AQ$84+'8.IRR+FG'!AQ$91*(1+'10.Sensitivitate'!$D26)</f>
        <v>39704.286551451049</v>
      </c>
      <c r="AH26" s="401">
        <f>'8.IRR+FG'!AR$77+'8.IRR+FG'!AR$84+'8.IRR+FG'!AR$91*(1+'10.Sensitivitate'!$D26)</f>
        <v>43212.047608068664</v>
      </c>
      <c r="AI26" s="401">
        <f>'8.IRR+FG'!AS$77+'8.IRR+FG'!AS$84+'8.IRR+FG'!AS$91*(1+'10.Sensitivitate'!$D26)</f>
        <v>46711.549334271942</v>
      </c>
      <c r="AJ26" s="401">
        <f>'8.IRR+FG'!AT$77+'8.IRR+FG'!AT$84+'8.IRR+FG'!AT$91*(1+'10.Sensitivitate'!$D26)</f>
        <v>50203.741138800557</v>
      </c>
      <c r="AL26" s="401">
        <f t="shared" si="13"/>
        <v>52502.791152229285</v>
      </c>
      <c r="AM26" s="402">
        <f t="shared" si="15"/>
        <v>4.2978303318837563E-2</v>
      </c>
      <c r="AO26" s="403">
        <f>IF('8.IRR+FG'!$K$96&lt;0,(-(AL26-'8.IRR+FG'!$K$96)/'8.IRR+FG'!$K$96),(AL26-'8.IRR+FG'!$K$96)/'8.IRR+FG'!$K$96)</f>
        <v>3.6653170956504388E-2</v>
      </c>
      <c r="AP26" s="403">
        <f>AM26-'8.IRR+FG'!$K$95</f>
        <v>4.2128197570279191E-4</v>
      </c>
      <c r="AR26" s="41"/>
    </row>
    <row r="27" spans="1:44" s="392" customFormat="1" ht="24" x14ac:dyDescent="0.3">
      <c r="A27" s="41"/>
      <c r="C27" s="398" t="s">
        <v>469</v>
      </c>
      <c r="D27" s="399">
        <v>-0.01</v>
      </c>
      <c r="E27" s="400" t="str">
        <f t="shared" si="14"/>
        <v>mii lei</v>
      </c>
      <c r="F27" s="401">
        <f>'8.IRR+FG'!P$77+'8.IRR+FG'!P$84+'8.IRR+FG'!P$91*(1+'10.Sensitivitate'!$D27)</f>
        <v>0</v>
      </c>
      <c r="G27" s="401">
        <f>'8.IRR+FG'!Q$77+'8.IRR+FG'!Q$84+'8.IRR+FG'!Q$91*(1+'10.Sensitivitate'!$D27)</f>
        <v>-525.29174999999998</v>
      </c>
      <c r="H27" s="401">
        <f>'8.IRR+FG'!R$77+'8.IRR+FG'!R$84+'8.IRR+FG'!R$91*(1+'10.Sensitivitate'!$D27)</f>
        <v>-63260.234786615329</v>
      </c>
      <c r="I27" s="401">
        <f>'8.IRR+FG'!S$77+'8.IRR+FG'!S$84+'8.IRR+FG'!S$91*(1+'10.Sensitivitate'!$D27)</f>
        <v>-112682.70131580645</v>
      </c>
      <c r="J27" s="401">
        <f>'8.IRR+FG'!T$77+'8.IRR+FG'!T$84+'8.IRR+FG'!T$91*(1+'10.Sensitivitate'!$D27)</f>
        <v>-54517.842364553697</v>
      </c>
      <c r="K27" s="401">
        <f>'8.IRR+FG'!U$77+'8.IRR+FG'!U$84+'8.IRR+FG'!U$91*(1+'10.Sensitivitate'!$D27)</f>
        <v>8286.1033989756434</v>
      </c>
      <c r="L27" s="401">
        <f>'8.IRR+FG'!V$77+'8.IRR+FG'!V$84+'8.IRR+FG'!V$91*(1+'10.Sensitivitate'!$D27)</f>
        <v>8336.4301266853981</v>
      </c>
      <c r="M27" s="401">
        <f>'8.IRR+FG'!W$77+'8.IRR+FG'!W$84+'8.IRR+FG'!W$91*(1+'10.Sensitivitate'!$D27)</f>
        <v>8395.2354546735933</v>
      </c>
      <c r="N27" s="401">
        <f>'8.IRR+FG'!X$77+'8.IRR+FG'!X$84+'8.IRR+FG'!X$91*(1+'10.Sensitivitate'!$D27)</f>
        <v>8554.0678384108542</v>
      </c>
      <c r="O27" s="401">
        <f>'8.IRR+FG'!Y$77+'8.IRR+FG'!Y$84+'8.IRR+FG'!Y$91*(1+'10.Sensitivitate'!$D27)</f>
        <v>8750.1167108627778</v>
      </c>
      <c r="P27" s="401">
        <f>'8.IRR+FG'!Z$77+'8.IRR+FG'!Z$84+'8.IRR+FG'!Z$91*(1+'10.Sensitivitate'!$D27)</f>
        <v>8952.7763172102386</v>
      </c>
      <c r="Q27" s="401">
        <f>'8.IRR+FG'!AA$77+'8.IRR+FG'!AA$84+'8.IRR+FG'!AA$91*(1+'10.Sensitivitate'!$D27)</f>
        <v>9162.9602677475305</v>
      </c>
      <c r="R27" s="401">
        <f>'8.IRR+FG'!AB$77+'8.IRR+FG'!AB$84+'8.IRR+FG'!AB$91*(1+'10.Sensitivitate'!$D27)</f>
        <v>9381.5803237655473</v>
      </c>
      <c r="S27" s="401">
        <f>'8.IRR+FG'!AC$77+'8.IRR+FG'!AC$84+'8.IRR+FG'!AC$91*(1+'10.Sensitivitate'!$D27)</f>
        <v>9599.7044556214732</v>
      </c>
      <c r="T27" s="401">
        <f>'8.IRR+FG'!AD$77+'8.IRR+FG'!AD$84+'8.IRR+FG'!AD$91*(1+'10.Sensitivitate'!$D27)</f>
        <v>9834.9262662086039</v>
      </c>
      <c r="U27" s="401">
        <f>'8.IRR+FG'!AE$77+'8.IRR+FG'!AE$84+'8.IRR+FG'!AE$91*(1+'10.Sensitivitate'!$D27)</f>
        <v>10078.581586355132</v>
      </c>
      <c r="V27" s="401">
        <f>'8.IRR+FG'!AF$77+'8.IRR+FG'!AF$84+'8.IRR+FG'!AF$91*(1+'10.Sensitivitate'!$D27)</f>
        <v>10330.945025350442</v>
      </c>
      <c r="W27" s="401">
        <f>'8.IRR+FG'!AG$77+'8.IRR+FG'!AG$84+'8.IRR+FG'!AG$91*(1+'10.Sensitivitate'!$D27)</f>
        <v>10592.307658711363</v>
      </c>
      <c r="X27" s="401">
        <f>'8.IRR+FG'!AH$77+'8.IRR+FG'!AH$84+'8.IRR+FG'!AH$91*(1+'10.Sensitivitate'!$D27)</f>
        <v>10862.97780672212</v>
      </c>
      <c r="Y27" s="401">
        <f>'8.IRR+FG'!AI$77+'8.IRR+FG'!AI$84+'8.IRR+FG'!AI$91*(1+'10.Sensitivitate'!$D27)</f>
        <v>11143.281852673066</v>
      </c>
      <c r="Z27" s="401">
        <f>'8.IRR+FG'!AJ$77+'8.IRR+FG'!AJ$84+'8.IRR+FG'!AJ$91*(1+'10.Sensitivitate'!$D27)</f>
        <v>11433.565102770479</v>
      </c>
      <c r="AA27" s="401">
        <f>'8.IRR+FG'!AK$77+'8.IRR+FG'!AK$84+'8.IRR+FG'!AK$91*(1+'10.Sensitivitate'!$D27)</f>
        <v>16813.530841854692</v>
      </c>
      <c r="AB27" s="401">
        <f>'8.IRR+FG'!AL$77+'8.IRR+FG'!AL$84+'8.IRR+FG'!AL$91*(1+'10.Sensitivitate'!$D27)</f>
        <v>20545.412519912854</v>
      </c>
      <c r="AC27" s="401">
        <f>'8.IRR+FG'!AM$77+'8.IRR+FG'!AM$84+'8.IRR+FG'!AM$91*(1+'10.Sensitivitate'!$D27)</f>
        <v>24273.417091745949</v>
      </c>
      <c r="AD27" s="401">
        <f>'8.IRR+FG'!AN$77+'8.IRR+FG'!AN$84+'8.IRR+FG'!AN$91*(1+'10.Sensitivitate'!$D27)</f>
        <v>27989.029527605089</v>
      </c>
      <c r="AE27" s="401">
        <f>'8.IRR+FG'!AO$77+'8.IRR+FG'!AO$84+'8.IRR+FG'!AO$91*(1+'10.Sensitivitate'!$D27)</f>
        <v>31693.066708168724</v>
      </c>
      <c r="AF27" s="401">
        <f>'8.IRR+FG'!AP$77+'8.IRR+FG'!AP$84+'8.IRR+FG'!AP$91*(1+'10.Sensitivitate'!$D27)</f>
        <v>35386.36556665544</v>
      </c>
      <c r="AG27" s="401">
        <f>'8.IRR+FG'!AQ$77+'8.IRR+FG'!AQ$84+'8.IRR+FG'!AQ$91*(1+'10.Sensitivitate'!$D27)</f>
        <v>39069.784370081688</v>
      </c>
      <c r="AH27" s="401">
        <f>'8.IRR+FG'!AR$77+'8.IRR+FG'!AR$84+'8.IRR+FG'!AR$91*(1+'10.Sensitivitate'!$D27)</f>
        <v>42507.635764340761</v>
      </c>
      <c r="AI27" s="401">
        <f>'8.IRR+FG'!AS$77+'8.IRR+FG'!AS$84+'8.IRR+FG'!AS$91*(1+'10.Sensitivitate'!$D27)</f>
        <v>45937.393070163147</v>
      </c>
      <c r="AJ27" s="401">
        <f>'8.IRR+FG'!AT$77+'8.IRR+FG'!AT$84+'8.IRR+FG'!AT$91*(1+'10.Sensitivitate'!$D27)</f>
        <v>49359.986865208833</v>
      </c>
      <c r="AL27" s="401">
        <f t="shared" si="13"/>
        <v>48790.085967471176</v>
      </c>
      <c r="AM27" s="402">
        <f t="shared" si="15"/>
        <v>4.2133355196624089E-2</v>
      </c>
      <c r="AO27" s="403">
        <f>IF('8.IRR+FG'!$K$96&lt;0,(-(AL27-'8.IRR+FG'!$K$96)/'8.IRR+FG'!$K$96),(AL27-'8.IRR+FG'!$K$96)/'8.IRR+FG'!$K$96)</f>
        <v>-3.6653171775766297E-2</v>
      </c>
      <c r="AP27" s="403">
        <f>AM27-'8.IRR+FG'!$K$95</f>
        <v>-4.2366614651068168E-4</v>
      </c>
      <c r="AR27" s="41"/>
    </row>
    <row r="28" spans="1:44" s="392" customFormat="1" ht="16.5" x14ac:dyDescent="0.3">
      <c r="A28" s="41"/>
      <c r="C28" s="398" t="s">
        <v>477</v>
      </c>
      <c r="D28" s="399">
        <v>9.9999997764825821E-3</v>
      </c>
      <c r="E28" s="400" t="str">
        <f t="shared" si="14"/>
        <v>mii lei</v>
      </c>
      <c r="F28" s="401">
        <f>'8.IRR+FG'!P$77*(1+'10.Sensitivitate'!$D28)+'8.IRR+FG'!P$84+'8.IRR+FG'!P$91</f>
        <v>0</v>
      </c>
      <c r="G28" s="401">
        <f>'8.IRR+FG'!Q$77*(1+'10.Sensitivitate'!$D28)+'8.IRR+FG'!Q$84+'8.IRR+FG'!Q$91</f>
        <v>-525.29174999999998</v>
      </c>
      <c r="H28" s="401">
        <f>'8.IRR+FG'!R$77*(1+'10.Sensitivitate'!$D28)+'8.IRR+FG'!R$84+'8.IRR+FG'!R$91</f>
        <v>-63260.234786615329</v>
      </c>
      <c r="I28" s="401">
        <f>'8.IRR+FG'!S$77*(1+'10.Sensitivitate'!$D28)+'8.IRR+FG'!S$84+'8.IRR+FG'!S$91</f>
        <v>-112665.27251972916</v>
      </c>
      <c r="J28" s="401">
        <f>'8.IRR+FG'!T$77*(1+'10.Sensitivitate'!$D28)+'8.IRR+FG'!T$84+'8.IRR+FG'!T$91</f>
        <v>-54469.863090856874</v>
      </c>
      <c r="K28" s="401">
        <f>'8.IRR+FG'!U$77*(1+'10.Sensitivitate'!$D28)+'8.IRR+FG'!U$84+'8.IRR+FG'!U$91</f>
        <v>8369.4734810850114</v>
      </c>
      <c r="L28" s="401">
        <f>'8.IRR+FG'!V$77*(1+'10.Sensitivitate'!$D28)+'8.IRR+FG'!V$84+'8.IRR+FG'!V$91</f>
        <v>8420.2968682238388</v>
      </c>
      <c r="M28" s="401">
        <f>'8.IRR+FG'!W$77*(1+'10.Sensitivitate'!$D28)+'8.IRR+FG'!W$84+'8.IRR+FG'!W$91</f>
        <v>8479.6844345182253</v>
      </c>
      <c r="N28" s="401">
        <f>'8.IRR+FG'!X$77*(1+'10.Sensitivitate'!$D28)+'8.IRR+FG'!X$84+'8.IRR+FG'!X$91</f>
        <v>8640.0999808882989</v>
      </c>
      <c r="O28" s="401">
        <f>'8.IRR+FG'!Y$77*(1+'10.Sensitivitate'!$D28)+'8.IRR+FG'!Y$84+'8.IRR+FG'!Y$91</f>
        <v>8838.1078789837848</v>
      </c>
      <c r="P28" s="401">
        <f>'8.IRR+FG'!Z$77*(1+'10.Sensitivitate'!$D28)+'8.IRR+FG'!Z$84+'8.IRR+FG'!Z$91</f>
        <v>9042.7932261289243</v>
      </c>
      <c r="Q28" s="401">
        <f>'8.IRR+FG'!AA$77*(1+'10.Sensitivitate'!$D28)+'8.IRR+FG'!AA$84+'8.IRR+FG'!AA$91</f>
        <v>9255.0788621645625</v>
      </c>
      <c r="R28" s="401">
        <f>'8.IRR+FG'!AB$77*(1+'10.Sensitivitate'!$D28)+'8.IRR+FG'!AB$84+'8.IRR+FG'!AB$91</f>
        <v>9475.8857592295408</v>
      </c>
      <c r="S28" s="401">
        <f>'8.IRR+FG'!AC$77*(1+'10.Sensitivitate'!$D28)+'8.IRR+FG'!AC$84+'8.IRR+FG'!AC$91</f>
        <v>9696.1925196988122</v>
      </c>
      <c r="T28" s="401">
        <f>'8.IRR+FG'!AD$77*(1+'10.Sensitivitate'!$D28)+'8.IRR+FG'!AD$84+'8.IRR+FG'!AD$91</f>
        <v>9933.7696072988947</v>
      </c>
      <c r="U28" s="401">
        <f>'8.IRR+FG'!AE$77*(1+'10.Sensitivitate'!$D28)+'8.IRR+FG'!AE$84+'8.IRR+FG'!AE$91</f>
        <v>10179.865337072606</v>
      </c>
      <c r="V28" s="401">
        <f>'8.IRR+FG'!AF$77*(1+'10.Sensitivitate'!$D28)+'8.IRR+FG'!AF$84+'8.IRR+FG'!AF$91</f>
        <v>10434.757093195278</v>
      </c>
      <c r="W28" s="401">
        <f>'8.IRR+FG'!AG$77*(1+'10.Sensitivitate'!$D28)+'8.IRR+FG'!AG$84+'8.IRR+FG'!AG$91</f>
        <v>10698.738892375372</v>
      </c>
      <c r="X28" s="401">
        <f>'8.IRR+FG'!AH$77*(1+'10.Sensitivitate'!$D28)+'8.IRR+FG'!AH$84+'8.IRR+FG'!AH$91</f>
        <v>10972.122170258848</v>
      </c>
      <c r="Y28" s="401">
        <f>'8.IRR+FG'!AI$77*(1+'10.Sensitivitate'!$D28)+'8.IRR+FG'!AI$84+'8.IRR+FG'!AI$91</f>
        <v>11255.236607933308</v>
      </c>
      <c r="Z28" s="401">
        <f>'8.IRR+FG'!AJ$77*(1+'10.Sensitivitate'!$D28)+'8.IRR+FG'!AJ$84+'8.IRR+FG'!AJ$91</f>
        <v>11548.431000524088</v>
      </c>
      <c r="AA28" s="401">
        <f>'8.IRR+FG'!AK$77*(1+'10.Sensitivitate'!$D28)+'8.IRR+FG'!AK$84+'8.IRR+FG'!AK$91</f>
        <v>16982.719140964891</v>
      </c>
      <c r="AB28" s="401">
        <f>'8.IRR+FG'!AL$77*(1+'10.Sensitivitate'!$D28)+'8.IRR+FG'!AL$84+'8.IRR+FG'!AL$91</f>
        <v>20752.275896867737</v>
      </c>
      <c r="AC28" s="401">
        <f>'8.IRR+FG'!AM$77*(1+'10.Sensitivitate'!$D28)+'8.IRR+FG'!AM$84+'8.IRR+FG'!AM$91</f>
        <v>24517.91552083593</v>
      </c>
      <c r="AD28" s="401">
        <f>'8.IRR+FG'!AN$77*(1+'10.Sensitivitate'!$D28)+'8.IRR+FG'!AN$84+'8.IRR+FG'!AN$91</f>
        <v>28271.03782630722</v>
      </c>
      <c r="AE28" s="401">
        <f>'8.IRR+FG'!AO$77*(1+'10.Sensitivitate'!$D28)+'8.IRR+FG'!AO$84+'8.IRR+FG'!AO$91</f>
        <v>32012.467945444012</v>
      </c>
      <c r="AF28" s="401">
        <f>'8.IRR+FG'!AP$77*(1+'10.Sensitivitate'!$D28)+'8.IRR+FG'!AP$84+'8.IRR+FG'!AP$91</f>
        <v>35743.051265498463</v>
      </c>
      <c r="AG28" s="401">
        <f>'8.IRR+FG'!AQ$77*(1+'10.Sensitivitate'!$D28)+'8.IRR+FG'!AQ$84+'8.IRR+FG'!AQ$91</f>
        <v>39463.654723012238</v>
      </c>
      <c r="AH28" s="401">
        <f>'8.IRR+FG'!AR$77*(1+'10.Sensitivitate'!$D28)+'8.IRR+FG'!AR$84+'8.IRR+FG'!AR$91</f>
        <v>42936.234179534673</v>
      </c>
      <c r="AI28" s="401">
        <f>'8.IRR+FG'!AS$77*(1+'10.Sensitivitate'!$D28)+'8.IRR+FG'!AS$84+'8.IRR+FG'!AS$91</f>
        <v>46400.637780526129</v>
      </c>
      <c r="AJ28" s="401">
        <f>'8.IRR+FG'!AT$77*(1+'10.Sensitivitate'!$D28)+'8.IRR+FG'!AT$84+'8.IRR+FG'!AT$91</f>
        <v>49857.805503578609</v>
      </c>
      <c r="AL28" s="401">
        <f t="shared" si="13"/>
        <v>51536.997430862</v>
      </c>
      <c r="AM28" s="402">
        <f t="shared" si="15"/>
        <v>4.2769345666532343E-2</v>
      </c>
      <c r="AO28" s="403">
        <f>IF('8.IRR+FG'!$K$96&lt;0,(-(AL28-'8.IRR+FG'!$K$96)/'8.IRR+FG'!$K$96),(AL28-'8.IRR+FG'!$K$96)/'8.IRR+FG'!$K$96)</f>
        <v>1.7583839559581739E-2</v>
      </c>
      <c r="AP28" s="403">
        <f>AM28-'8.IRR+FG'!$K$95</f>
        <v>2.1232432339757246E-4</v>
      </c>
      <c r="AR28" s="41"/>
    </row>
    <row r="29" spans="1:44" s="392" customFormat="1" ht="16.5" x14ac:dyDescent="0.3">
      <c r="A29" s="41"/>
      <c r="C29" s="398" t="s">
        <v>478</v>
      </c>
      <c r="D29" s="399">
        <v>-0.01</v>
      </c>
      <c r="E29" s="400" t="str">
        <f t="shared" si="14"/>
        <v>mii lei</v>
      </c>
      <c r="F29" s="401">
        <f>'8.IRR+FG'!P$77*(1+'10.Sensitivitate'!$D29)+'8.IRR+FG'!P$84+'8.IRR+FG'!P$91</f>
        <v>0</v>
      </c>
      <c r="G29" s="401">
        <f>'8.IRR+FG'!Q$77*(1+'10.Sensitivitate'!$D29)+'8.IRR+FG'!Q$84+'8.IRR+FG'!Q$91</f>
        <v>-525.29174999999998</v>
      </c>
      <c r="H29" s="401">
        <f>'8.IRR+FG'!R$77*(1+'10.Sensitivitate'!$D29)+'8.IRR+FG'!R$84+'8.IRR+FG'!R$91</f>
        <v>-63260.234786615329</v>
      </c>
      <c r="I29" s="401">
        <f>'8.IRR+FG'!S$77*(1+'10.Sensitivitate'!$D29)+'8.IRR+FG'!S$84+'8.IRR+FG'!S$91</f>
        <v>-112677.85626326389</v>
      </c>
      <c r="J29" s="401">
        <f>'8.IRR+FG'!T$77*(1+'10.Sensitivitate'!$D29)+'8.IRR+FG'!T$84+'8.IRR+FG'!T$91</f>
        <v>-54506.367394785462</v>
      </c>
      <c r="K29" s="401">
        <f>'8.IRR+FG'!U$77*(1+'10.Sensitivitate'!$D29)+'8.IRR+FG'!U$84+'8.IRR+FG'!U$91</f>
        <v>8304.5430851937799</v>
      </c>
      <c r="L29" s="401">
        <f>'8.IRR+FG'!V$77*(1+'10.Sensitivitate'!$D29)+'8.IRR+FG'!V$84+'8.IRR+FG'!V$91</f>
        <v>8353.0515890175739</v>
      </c>
      <c r="M29" s="401">
        <f>'8.IRR+FG'!W$77*(1+'10.Sensitivitate'!$D29)+'8.IRR+FG'!W$84+'8.IRR+FG'!W$91</f>
        <v>8410.1116891379061</v>
      </c>
      <c r="N29" s="401">
        <f>'8.IRR+FG'!X$77*(1+'10.Sensitivitate'!$D29)+'8.IRR+FG'!X$84+'8.IRR+FG'!X$91</f>
        <v>8566.3286786682092</v>
      </c>
      <c r="O29" s="401">
        <f>'8.IRR+FG'!Y$77*(1+'10.Sensitivitate'!$D29)+'8.IRR+FG'!Y$84+'8.IRR+FG'!Y$91</f>
        <v>8760.1259186490952</v>
      </c>
      <c r="P29" s="401">
        <f>'8.IRR+FG'!Z$77*(1+'10.Sensitivitate'!$D29)+'8.IRR+FG'!Z$84+'8.IRR+FG'!Z$91</f>
        <v>8960.5887404307196</v>
      </c>
      <c r="Q29" s="401">
        <f>'8.IRR+FG'!AA$77*(1+'10.Sensitivitate'!$D29)+'8.IRR+FG'!AA$84+'8.IRR+FG'!AA$91</f>
        <v>9168.6402134812815</v>
      </c>
      <c r="R29" s="401">
        <f>'8.IRR+FG'!AB$77*(1+'10.Sensitivitate'!$D29)+'8.IRR+FG'!AB$84+'8.IRR+FG'!AB$91</f>
        <v>9385.2015352506132</v>
      </c>
      <c r="S29" s="401">
        <f>'8.IRR+FG'!AC$77*(1+'10.Sensitivitate'!$D29)+'8.IRR+FG'!AC$84+'8.IRR+FG'!AC$91</f>
        <v>9601.4205065419392</v>
      </c>
      <c r="T29" s="401">
        <f>'8.IRR+FG'!AD$77*(1+'10.Sensitivitate'!$D29)+'8.IRR+FG'!AD$84+'8.IRR+FG'!AD$91</f>
        <v>9834.8988306475985</v>
      </c>
      <c r="U29" s="401">
        <f>'8.IRR+FG'!AE$77*(1+'10.Sensitivitate'!$D29)+'8.IRR+FG'!AE$84+'8.IRR+FG'!AE$91</f>
        <v>10076.885035450363</v>
      </c>
      <c r="V29" s="401">
        <f>'8.IRR+FG'!AF$77*(1+'10.Sensitivitate'!$D29)+'8.IRR+FG'!AF$84+'8.IRR+FG'!AF$91</f>
        <v>10327.656713962915</v>
      </c>
      <c r="W29" s="401">
        <f>'8.IRR+FG'!AG$77*(1+'10.Sensitivitate'!$D29)+'8.IRR+FG'!AG$84+'8.IRR+FG'!AG$91</f>
        <v>10587.508087803293</v>
      </c>
      <c r="X29" s="401">
        <f>'8.IRR+FG'!AH$77*(1+'10.Sensitivitate'!$D29)+'8.IRR+FG'!AH$84+'8.IRR+FG'!AH$91</f>
        <v>10856.750793672672</v>
      </c>
      <c r="Y29" s="401">
        <f>'8.IRR+FG'!AI$77*(1+'10.Sensitivitate'!$D29)+'8.IRR+FG'!AI$84+'8.IRR+FG'!AI$91</f>
        <v>11135.714709931539</v>
      </c>
      <c r="Z29" s="401">
        <f>'8.IRR+FG'!AJ$77*(1+'10.Sensitivitate'!$D29)+'8.IRR+FG'!AJ$84+'8.IRR+FG'!AJ$91</f>
        <v>11424.748825266506</v>
      </c>
      <c r="AA29" s="401">
        <f>'8.IRR+FG'!AK$77*(1+'10.Sensitivitate'!$D29)+'8.IRR+FG'!AK$84+'8.IRR+FG'!AK$91</f>
        <v>16854.940965253732</v>
      </c>
      <c r="AB29" s="401">
        <f>'8.IRR+FG'!AL$77*(1+'10.Sensitivitate'!$D29)+'8.IRR+FG'!AL$84+'8.IRR+FG'!AL$91</f>
        <v>20620.399787401635</v>
      </c>
      <c r="AC29" s="401">
        <f>'8.IRR+FG'!AM$77*(1+'10.Sensitivitate'!$D29)+'8.IRR+FG'!AM$84+'8.IRR+FG'!AM$91</f>
        <v>24381.77059994646</v>
      </c>
      <c r="AD29" s="401">
        <f>'8.IRR+FG'!AN$77*(1+'10.Sensitivitate'!$D29)+'8.IRR+FG'!AN$84+'8.IRR+FG'!AN$91</f>
        <v>28130.622226403244</v>
      </c>
      <c r="AE29" s="401">
        <f>'8.IRR+FG'!AO$77*(1+'10.Sensitivitate'!$D29)+'8.IRR+FG'!AO$84+'8.IRR+FG'!AO$91</f>
        <v>31867.779831400068</v>
      </c>
      <c r="AF29" s="401">
        <f>'8.IRR+FG'!AP$77*(1+'10.Sensitivitate'!$D29)+'8.IRR+FG'!AP$84+'8.IRR+FG'!AP$91</f>
        <v>35594.088834399059</v>
      </c>
      <c r="AG29" s="401">
        <f>'8.IRR+FG'!AQ$77*(1+'10.Sensitivitate'!$D29)+'8.IRR+FG'!AQ$84+'8.IRR+FG'!AQ$91</f>
        <v>39310.416203899047</v>
      </c>
      <c r="AH29" s="401">
        <f>'8.IRR+FG'!AR$77*(1+'10.Sensitivitate'!$D29)+'8.IRR+FG'!AR$84+'8.IRR+FG'!AR$91</f>
        <v>42783.449199039671</v>
      </c>
      <c r="AI29" s="401">
        <f>'8.IRR+FG'!AS$77*(1+'10.Sensitivitate'!$D29)+'8.IRR+FG'!AS$84+'8.IRR+FG'!AS$91</f>
        <v>46248.30463085838</v>
      </c>
      <c r="AJ29" s="401">
        <f>'8.IRR+FG'!AT$77*(1+'10.Sensitivitate'!$D29)+'8.IRR+FG'!AT$84+'8.IRR+FG'!AT$91</f>
        <v>49705.92250816305</v>
      </c>
      <c r="AL29" s="401">
        <f t="shared" si="13"/>
        <v>49755.879710425586</v>
      </c>
      <c r="AM29" s="402">
        <f t="shared" si="15"/>
        <v>4.234442695097318E-2</v>
      </c>
      <c r="AO29" s="403">
        <f>IF('8.IRR+FG'!$K$96&lt;0,(-(AL29-'8.IRR+FG'!$K$96)/'8.IRR+FG'!$K$96),(AL29-'8.IRR+FG'!$K$96)/'8.IRR+FG'!$K$96)</f>
        <v>-1.7583839952611785E-2</v>
      </c>
      <c r="AP29" s="403">
        <f>AM29-'8.IRR+FG'!$K$95</f>
        <v>-2.1259439216159137E-4</v>
      </c>
      <c r="AR29" s="41"/>
    </row>
    <row r="30" spans="1:44" s="392" customFormat="1" ht="16.5" x14ac:dyDescent="0.3">
      <c r="A30" s="41"/>
      <c r="C30" s="398"/>
      <c r="AR30" s="41"/>
    </row>
    <row r="31" spans="1:44" ht="16.5" x14ac:dyDescent="0.3">
      <c r="A31" s="41"/>
      <c r="B31" s="41"/>
      <c r="C31" s="237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</sheetData>
  <sheetProtection algorithmName="SHA-512" hashValue="pQPUUL0JDP5x86vx/qA1T4UJ+buH/s1tdXCM+nsEP0lDS7rrhHsI17MJpYpYEKnfnhjQIhuQXr8rcH8HKYOELw==" saltValue="NYLQ/XZXQgxJE8tCmVDk7A==" spinCount="100000" sheet="1" objects="1" scenarios="1"/>
  <mergeCells count="4">
    <mergeCell ref="C21:E21"/>
    <mergeCell ref="D2:I2"/>
    <mergeCell ref="D3:I3"/>
    <mergeCell ref="C6:E6"/>
  </mergeCells>
  <pageMargins left="0.7" right="0.7" top="0.75" bottom="0.75" header="0.3" footer="0.3"/>
  <pageSetup paperSize="9" scale="3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2C03-8629-4D60-BEA9-3E6FD7223B24}">
  <sheetPr codeName="Sheet11"/>
  <dimension ref="A1:K237"/>
  <sheetViews>
    <sheetView topLeftCell="A18" zoomScaleNormal="100" workbookViewId="0">
      <selection activeCell="F22" sqref="F22:G23"/>
    </sheetView>
  </sheetViews>
  <sheetFormatPr defaultColWidth="9.140625" defaultRowHeight="0" customHeight="1" zeroHeight="1" x14ac:dyDescent="0.3"/>
  <cols>
    <col min="1" max="1" width="3.42578125" style="47" customWidth="1"/>
    <col min="2" max="2" width="3.42578125" style="408" customWidth="1"/>
    <col min="3" max="3" width="21.140625" style="408" customWidth="1"/>
    <col min="4" max="4" width="17.42578125" style="408" customWidth="1"/>
    <col min="5" max="5" width="20.85546875" style="408" customWidth="1"/>
    <col min="6" max="6" width="20.7109375" style="408" customWidth="1"/>
    <col min="7" max="7" width="15.7109375" style="408" customWidth="1"/>
    <col min="8" max="8" width="16" style="408" customWidth="1"/>
    <col min="9" max="9" width="17.42578125" style="408" customWidth="1"/>
    <col min="10" max="10" width="3.85546875" style="408" customWidth="1"/>
    <col min="11" max="11" width="5.140625" style="408" customWidth="1"/>
    <col min="12" max="12" width="5.5703125" style="47" customWidth="1"/>
    <col min="13" max="13" width="4" style="47" customWidth="1"/>
    <col min="14" max="16384" width="9.140625" style="47"/>
  </cols>
  <sheetData>
    <row r="1" spans="1:11" ht="16.5" x14ac:dyDescent="0.3"/>
    <row r="2" spans="1:11" ht="27.75" customHeight="1" x14ac:dyDescent="0.3">
      <c r="C2" s="297" t="s">
        <v>0</v>
      </c>
      <c r="D2" s="718" t="str">
        <f>'10.Sensitivitate'!D2</f>
        <v>PRIMARIA MUNICIPIULUI SUCEAVA</v>
      </c>
      <c r="E2" s="719"/>
      <c r="F2" s="720"/>
    </row>
    <row r="3" spans="1:11" ht="26.25" customHeight="1" x14ac:dyDescent="0.3">
      <c r="C3" s="297" t="s">
        <v>1</v>
      </c>
      <c r="D3" s="704" t="str">
        <f>'10.Sensitivitate'!D3</f>
        <v>Reabilitarea sistemului de transport și distribuție energie termică în municipiul Suceava</v>
      </c>
      <c r="E3" s="705"/>
      <c r="F3" s="706"/>
    </row>
    <row r="4" spans="1:11" ht="16.5" x14ac:dyDescent="0.3"/>
    <row r="5" spans="1:11" ht="17.25" thickBot="1" x14ac:dyDescent="0.3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7.25" thickBot="1" x14ac:dyDescent="0.35">
      <c r="A6" s="41"/>
      <c r="B6" s="41"/>
      <c r="C6" s="615" t="s">
        <v>85</v>
      </c>
      <c r="D6" s="616"/>
      <c r="E6" s="616"/>
      <c r="F6" s="41"/>
      <c r="G6" s="41"/>
      <c r="H6" s="41"/>
      <c r="I6" s="41"/>
      <c r="J6" s="41"/>
      <c r="K6" s="41"/>
    </row>
    <row r="7" spans="1:11" ht="16.5" x14ac:dyDescent="0.3">
      <c r="A7" s="41"/>
      <c r="B7" s="409"/>
      <c r="K7" s="41"/>
    </row>
    <row r="8" spans="1:11" ht="16.5" x14ac:dyDescent="0.3">
      <c r="A8" s="41"/>
      <c r="B8" s="409"/>
      <c r="C8" s="722" t="s">
        <v>488</v>
      </c>
      <c r="D8" s="723"/>
      <c r="E8" s="723"/>
      <c r="F8" s="723"/>
      <c r="G8" s="723"/>
      <c r="H8" s="723"/>
      <c r="K8" s="41"/>
    </row>
    <row r="9" spans="1:11" ht="25.5" customHeight="1" x14ac:dyDescent="0.3">
      <c r="A9" s="41"/>
      <c r="B9" s="409"/>
      <c r="C9" s="410"/>
      <c r="D9" s="727" t="s">
        <v>86</v>
      </c>
      <c r="E9" s="728"/>
      <c r="F9" s="729"/>
      <c r="G9" s="772" t="s">
        <v>553</v>
      </c>
      <c r="H9" s="772" t="s">
        <v>554</v>
      </c>
      <c r="K9" s="41"/>
    </row>
    <row r="10" spans="1:11" ht="16.5" x14ac:dyDescent="0.3">
      <c r="A10" s="41"/>
      <c r="B10" s="409"/>
      <c r="C10" s="411">
        <v>1</v>
      </c>
      <c r="D10" s="730" t="s">
        <v>87</v>
      </c>
      <c r="E10" s="731"/>
      <c r="F10" s="412">
        <f>'5.O&amp;M'!AI2</f>
        <v>20</v>
      </c>
      <c r="G10" s="773"/>
      <c r="H10" s="773"/>
      <c r="K10" s="41"/>
    </row>
    <row r="11" spans="1:11" ht="16.5" x14ac:dyDescent="0.3">
      <c r="A11" s="41"/>
      <c r="B11" s="409"/>
      <c r="C11" s="411">
        <f>C10+1</f>
        <v>2</v>
      </c>
      <c r="D11" s="730" t="s">
        <v>88</v>
      </c>
      <c r="E11" s="731"/>
      <c r="F11" s="413">
        <f>RAF</f>
        <v>0.04</v>
      </c>
      <c r="G11" s="774"/>
      <c r="H11" s="774"/>
      <c r="K11" s="41"/>
    </row>
    <row r="12" spans="1:11" ht="16.5" x14ac:dyDescent="0.3">
      <c r="A12" s="41"/>
      <c r="B12" s="409"/>
      <c r="C12" s="411">
        <f t="shared" ref="C12:C15" si="0">C11+1</f>
        <v>3</v>
      </c>
      <c r="D12" s="730" t="s">
        <v>481</v>
      </c>
      <c r="E12" s="732"/>
      <c r="F12" s="731"/>
      <c r="G12" s="412">
        <f>('4.Investitie'!K18-'4.Investitie'!K14)/1000</f>
        <v>298161.97514492343</v>
      </c>
      <c r="H12" s="412">
        <f>'8.IRR+FG'!K19</f>
        <v>276007.66063187603</v>
      </c>
      <c r="K12" s="41"/>
    </row>
    <row r="13" spans="1:11" ht="16.5" x14ac:dyDescent="0.3">
      <c r="A13" s="41"/>
      <c r="B13" s="409"/>
      <c r="C13" s="411">
        <f t="shared" si="0"/>
        <v>4</v>
      </c>
      <c r="D13" s="730" t="s">
        <v>482</v>
      </c>
      <c r="E13" s="732"/>
      <c r="F13" s="731"/>
      <c r="G13" s="412">
        <f>'8.IRR+FG'!AT13</f>
        <v>0</v>
      </c>
      <c r="H13" s="412">
        <f>'8.IRR+FG'!K13</f>
        <v>0</v>
      </c>
      <c r="K13" s="41"/>
    </row>
    <row r="14" spans="1:11" ht="16.5" x14ac:dyDescent="0.3">
      <c r="A14" s="41"/>
      <c r="B14" s="409"/>
      <c r="C14" s="411">
        <f t="shared" si="0"/>
        <v>5</v>
      </c>
      <c r="D14" s="730" t="s">
        <v>483</v>
      </c>
      <c r="E14" s="732"/>
      <c r="F14" s="731"/>
      <c r="G14" s="411"/>
      <c r="H14" s="412">
        <f>'8.IRR+FG'!K10</f>
        <v>-244452.34905263167</v>
      </c>
      <c r="K14" s="41"/>
    </row>
    <row r="15" spans="1:11" ht="16.5" x14ac:dyDescent="0.3">
      <c r="A15" s="41"/>
      <c r="B15" s="409"/>
      <c r="C15" s="411">
        <f t="shared" si="0"/>
        <v>6</v>
      </c>
      <c r="D15" s="730" t="s">
        <v>426</v>
      </c>
      <c r="E15" s="732"/>
      <c r="F15" s="731"/>
      <c r="G15" s="411"/>
      <c r="H15" s="412">
        <f>-'8.IRR+FG'!K11</f>
        <v>-191849.86186495557</v>
      </c>
      <c r="K15" s="41"/>
    </row>
    <row r="16" spans="1:11" ht="16.5" x14ac:dyDescent="0.3">
      <c r="A16" s="41"/>
      <c r="B16" s="409"/>
      <c r="C16" s="779" t="s">
        <v>498</v>
      </c>
      <c r="D16" s="780"/>
      <c r="E16" s="780"/>
      <c r="F16" s="780"/>
      <c r="G16" s="780"/>
      <c r="H16" s="781"/>
      <c r="K16" s="41"/>
    </row>
    <row r="17" spans="1:11" ht="28.9" customHeight="1" x14ac:dyDescent="0.3">
      <c r="A17" s="41"/>
      <c r="B17" s="409"/>
      <c r="C17" s="414">
        <f>C15+1</f>
        <v>7</v>
      </c>
      <c r="D17" s="724" t="s">
        <v>104</v>
      </c>
      <c r="E17" s="725"/>
      <c r="F17" s="726"/>
      <c r="G17" s="415"/>
      <c r="H17" s="416">
        <f>'8.IRR+FG'!K20</f>
        <v>0</v>
      </c>
      <c r="K17" s="41"/>
    </row>
    <row r="18" spans="1:11" ht="27" customHeight="1" x14ac:dyDescent="0.3">
      <c r="A18" s="41"/>
      <c r="B18" s="409"/>
      <c r="C18" s="414">
        <f>C17+1</f>
        <v>8</v>
      </c>
      <c r="D18" s="782" t="s">
        <v>105</v>
      </c>
      <c r="E18" s="783"/>
      <c r="F18" s="784"/>
      <c r="G18" s="415"/>
      <c r="H18" s="416">
        <f>'8.IRR+FG'!K21</f>
        <v>276007.66063187603</v>
      </c>
      <c r="K18" s="41"/>
    </row>
    <row r="19" spans="1:11" ht="16.5" x14ac:dyDescent="0.3">
      <c r="A19" s="41"/>
      <c r="B19" s="409"/>
      <c r="C19" s="414">
        <f>C18+1</f>
        <v>9</v>
      </c>
      <c r="D19" s="730" t="s">
        <v>89</v>
      </c>
      <c r="E19" s="731"/>
      <c r="F19" s="413">
        <f>'8.IRR+FG'!K22</f>
        <v>1</v>
      </c>
      <c r="G19" s="417"/>
      <c r="H19" s="417"/>
      <c r="K19" s="41"/>
    </row>
    <row r="20" spans="1:11" ht="16.5" x14ac:dyDescent="0.3">
      <c r="A20" s="41"/>
      <c r="B20" s="409"/>
      <c r="G20" s="418"/>
      <c r="K20" s="41"/>
    </row>
    <row r="21" spans="1:11" ht="16.5" x14ac:dyDescent="0.3">
      <c r="A21" s="41"/>
      <c r="B21" s="409"/>
      <c r="C21" s="722" t="s">
        <v>489</v>
      </c>
      <c r="D21" s="723"/>
      <c r="E21" s="723"/>
      <c r="F21" s="723"/>
      <c r="G21" s="723"/>
      <c r="H21" s="764"/>
      <c r="I21" s="419"/>
      <c r="J21" s="419"/>
      <c r="K21" s="41"/>
    </row>
    <row r="22" spans="1:11" ht="15" customHeight="1" x14ac:dyDescent="0.3">
      <c r="A22" s="41"/>
      <c r="B22" s="409"/>
      <c r="C22" s="743"/>
      <c r="D22" s="745" t="s">
        <v>100</v>
      </c>
      <c r="E22" s="746"/>
      <c r="F22" s="749" t="s">
        <v>101</v>
      </c>
      <c r="G22" s="750"/>
      <c r="H22" s="751"/>
      <c r="I22" s="752"/>
      <c r="J22" s="55"/>
      <c r="K22" s="41"/>
    </row>
    <row r="23" spans="1:11" ht="16.5" x14ac:dyDescent="0.3">
      <c r="A23" s="41"/>
      <c r="B23" s="409"/>
      <c r="C23" s="744"/>
      <c r="D23" s="747"/>
      <c r="E23" s="748"/>
      <c r="F23" s="750"/>
      <c r="G23" s="750"/>
      <c r="H23" s="752"/>
      <c r="I23" s="752"/>
      <c r="J23" s="55"/>
      <c r="K23" s="41"/>
    </row>
    <row r="24" spans="1:11" ht="16.5" x14ac:dyDescent="0.3">
      <c r="A24" s="41"/>
      <c r="B24" s="409"/>
      <c r="C24" s="420">
        <v>1</v>
      </c>
      <c r="D24" s="730" t="s">
        <v>102</v>
      </c>
      <c r="E24" s="731"/>
      <c r="F24" s="421" t="e">
        <f>'8.IRR+FG'!K39</f>
        <v>#NUM!</v>
      </c>
      <c r="G24" s="110" t="s">
        <v>90</v>
      </c>
      <c r="H24" s="422"/>
      <c r="I24" s="419"/>
      <c r="J24" s="419"/>
      <c r="K24" s="41"/>
    </row>
    <row r="25" spans="1:11" ht="16.5" x14ac:dyDescent="0.3">
      <c r="A25" s="41"/>
      <c r="B25" s="409"/>
      <c r="C25" s="420">
        <v>2</v>
      </c>
      <c r="D25" s="730" t="s">
        <v>103</v>
      </c>
      <c r="E25" s="731"/>
      <c r="F25" s="62">
        <f>'8.IRR+FG'!K40</f>
        <v>-328610.1478195524</v>
      </c>
      <c r="G25" s="110" t="s">
        <v>91</v>
      </c>
      <c r="H25" s="423"/>
      <c r="I25" s="419"/>
      <c r="J25" s="419"/>
      <c r="K25" s="41"/>
    </row>
    <row r="26" spans="1:11" ht="16.5" x14ac:dyDescent="0.3">
      <c r="A26" s="41"/>
      <c r="B26" s="409"/>
      <c r="K26" s="41"/>
    </row>
    <row r="27" spans="1:11" ht="17.25" thickBot="1" x14ac:dyDescent="0.3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7.25" thickBot="1" x14ac:dyDescent="0.35">
      <c r="A28" s="41"/>
      <c r="B28" s="41"/>
      <c r="C28" s="615" t="s">
        <v>480</v>
      </c>
      <c r="D28" s="616"/>
      <c r="E28" s="616"/>
      <c r="F28" s="41"/>
      <c r="G28" s="41"/>
      <c r="H28" s="41"/>
      <c r="I28" s="41"/>
      <c r="J28" s="41"/>
      <c r="K28" s="41"/>
    </row>
    <row r="29" spans="1:11" ht="16.5" x14ac:dyDescent="0.3">
      <c r="A29" s="41"/>
      <c r="B29" s="409"/>
      <c r="K29" s="41"/>
    </row>
    <row r="30" spans="1:11" ht="16.5" x14ac:dyDescent="0.3">
      <c r="A30" s="41"/>
      <c r="B30" s="409"/>
      <c r="C30" s="722" t="s">
        <v>490</v>
      </c>
      <c r="D30" s="723"/>
      <c r="E30" s="723"/>
      <c r="F30" s="723"/>
      <c r="G30" s="723"/>
      <c r="H30" s="723"/>
      <c r="K30" s="41"/>
    </row>
    <row r="31" spans="1:11" ht="16.5" x14ac:dyDescent="0.3">
      <c r="A31" s="41"/>
      <c r="B31" s="409"/>
      <c r="C31" s="756"/>
      <c r="D31" s="758" t="s">
        <v>484</v>
      </c>
      <c r="E31" s="759"/>
      <c r="F31" s="762" t="s">
        <v>491</v>
      </c>
      <c r="G31" s="762" t="s">
        <v>558</v>
      </c>
      <c r="H31" s="762" t="s">
        <v>485</v>
      </c>
      <c r="K31" s="41"/>
    </row>
    <row r="32" spans="1:11" ht="30.75" customHeight="1" x14ac:dyDescent="0.3">
      <c r="A32" s="41"/>
      <c r="B32" s="409"/>
      <c r="C32" s="757"/>
      <c r="D32" s="760"/>
      <c r="E32" s="761"/>
      <c r="F32" s="763"/>
      <c r="G32" s="763"/>
      <c r="H32" s="763"/>
      <c r="K32" s="41"/>
    </row>
    <row r="33" spans="1:11" ht="16.5" x14ac:dyDescent="0.3">
      <c r="A33" s="41"/>
      <c r="B33" s="409"/>
      <c r="C33" s="424">
        <v>1</v>
      </c>
      <c r="D33" s="785" t="str">
        <f>'8.IRR+FG'!C76</f>
        <v>Valoarea reziduala</v>
      </c>
      <c r="E33" s="786"/>
      <c r="F33" s="425"/>
      <c r="G33" s="426">
        <f>'8.IRR+FG'!K76</f>
        <v>0</v>
      </c>
      <c r="H33" s="427">
        <f>G33/$G$37</f>
        <v>0</v>
      </c>
      <c r="K33" s="41"/>
    </row>
    <row r="34" spans="1:11" ht="16.5" x14ac:dyDescent="0.3">
      <c r="A34" s="41"/>
      <c r="B34" s="409"/>
      <c r="C34" s="424">
        <f>C33+1</f>
        <v>2</v>
      </c>
      <c r="D34" s="785" t="str">
        <f>'8.IRR+FG'!C74</f>
        <v>Beneficii din reducerea de emisii CO2 echiv</v>
      </c>
      <c r="E34" s="786"/>
      <c r="F34" s="428"/>
      <c r="G34" s="426">
        <f>'8.IRR+FG'!K74</f>
        <v>69091.763973100766</v>
      </c>
      <c r="H34" s="427">
        <f>G34/$G$37</f>
        <v>0.25152526535070491</v>
      </c>
      <c r="K34" s="41"/>
    </row>
    <row r="35" spans="1:11" ht="27.75" customHeight="1" x14ac:dyDescent="0.3">
      <c r="A35" s="41"/>
      <c r="B35" s="409"/>
      <c r="C35" s="424">
        <f>C34+1</f>
        <v>3</v>
      </c>
      <c r="D35" s="785" t="str">
        <f>'8.IRR+FG'!C75</f>
        <v>Beneficii din cresterea securitatii in furnizarea de energie termica</v>
      </c>
      <c r="E35" s="786"/>
      <c r="F35" s="428"/>
      <c r="G35" s="426">
        <f>'8.IRR+FG'!K75</f>
        <v>19964.123043993841</v>
      </c>
      <c r="H35" s="427">
        <f>G35/$G$37</f>
        <v>7.2678436001281821E-2</v>
      </c>
      <c r="K35" s="41"/>
    </row>
    <row r="36" spans="1:11" ht="27.75" customHeight="1" x14ac:dyDescent="0.3">
      <c r="A36" s="41"/>
      <c r="B36" s="409"/>
      <c r="C36" s="424">
        <f t="shared" ref="C36:C37" si="1">C35+1</f>
        <v>4</v>
      </c>
      <c r="D36" s="787" t="s">
        <v>494</v>
      </c>
      <c r="E36" s="788"/>
      <c r="F36" s="428"/>
      <c r="G36" s="426">
        <f>'8.IRR+FG'!K91</f>
        <v>185635.26131253835</v>
      </c>
      <c r="H36" s="427">
        <f>G36/$G$37</f>
        <v>0.67579629864801338</v>
      </c>
      <c r="K36" s="41"/>
    </row>
    <row r="37" spans="1:11" s="435" customFormat="1" ht="15.75" x14ac:dyDescent="0.3">
      <c r="A37" s="337"/>
      <c r="B37" s="429"/>
      <c r="C37" s="430">
        <f t="shared" si="1"/>
        <v>5</v>
      </c>
      <c r="D37" s="775" t="str">
        <f>'8.IRR+FG'!C77</f>
        <v>TOTAL BENEFICII ECONOMICE</v>
      </c>
      <c r="E37" s="776"/>
      <c r="F37" s="431"/>
      <c r="G37" s="432">
        <f>SUM(G33:G36)</f>
        <v>274691.14832963294</v>
      </c>
      <c r="H37" s="433">
        <f>SUM(H33:H36)</f>
        <v>1</v>
      </c>
      <c r="I37" s="434"/>
      <c r="J37" s="434"/>
      <c r="K37" s="337"/>
    </row>
    <row r="38" spans="1:11" ht="16.5" x14ac:dyDescent="0.3">
      <c r="A38" s="41"/>
      <c r="B38" s="409"/>
      <c r="C38" s="756"/>
      <c r="D38" s="758" t="s">
        <v>486</v>
      </c>
      <c r="E38" s="759"/>
      <c r="F38" s="762" t="s">
        <v>491</v>
      </c>
      <c r="G38" s="762" t="s">
        <v>492</v>
      </c>
      <c r="H38" s="762" t="s">
        <v>487</v>
      </c>
      <c r="K38" s="41"/>
    </row>
    <row r="39" spans="1:11" ht="16.5" x14ac:dyDescent="0.3">
      <c r="A39" s="41"/>
      <c r="B39" s="409"/>
      <c r="C39" s="757"/>
      <c r="D39" s="760"/>
      <c r="E39" s="761"/>
      <c r="F39" s="763"/>
      <c r="G39" s="763"/>
      <c r="H39" s="763"/>
      <c r="K39" s="41"/>
    </row>
    <row r="40" spans="1:11" ht="16.5" x14ac:dyDescent="0.3">
      <c r="A40" s="41"/>
      <c r="B40" s="409"/>
      <c r="C40" s="424">
        <v>1</v>
      </c>
      <c r="D40" s="785" t="s">
        <v>493</v>
      </c>
      <c r="E40" s="786"/>
      <c r="F40" s="424"/>
      <c r="G40" s="436">
        <f>-'8.IRR+FG'!K84</f>
        <v>224044.70974903638</v>
      </c>
      <c r="H40" s="427">
        <v>1</v>
      </c>
      <c r="K40" s="41"/>
    </row>
    <row r="41" spans="1:11" ht="16.5" x14ac:dyDescent="0.3">
      <c r="A41" s="41"/>
      <c r="B41" s="409"/>
      <c r="K41" s="41"/>
    </row>
    <row r="42" spans="1:11" ht="16.5" x14ac:dyDescent="0.3">
      <c r="A42" s="41"/>
      <c r="B42" s="409"/>
      <c r="C42" s="722" t="s">
        <v>497</v>
      </c>
      <c r="D42" s="723"/>
      <c r="E42" s="723"/>
      <c r="F42" s="723"/>
      <c r="G42" s="723"/>
      <c r="H42" s="764"/>
      <c r="I42" s="419"/>
      <c r="K42" s="41"/>
    </row>
    <row r="43" spans="1:11" ht="16.5" x14ac:dyDescent="0.3">
      <c r="A43" s="41"/>
      <c r="B43" s="409"/>
      <c r="C43" s="743"/>
      <c r="D43" s="745" t="s">
        <v>501</v>
      </c>
      <c r="E43" s="789"/>
      <c r="F43" s="789"/>
      <c r="G43" s="790"/>
      <c r="H43" s="751"/>
      <c r="I43" s="752"/>
      <c r="K43" s="41"/>
    </row>
    <row r="44" spans="1:11" ht="8.25" customHeight="1" x14ac:dyDescent="0.3">
      <c r="A44" s="41"/>
      <c r="B44" s="409"/>
      <c r="C44" s="744"/>
      <c r="D44" s="791"/>
      <c r="E44" s="792"/>
      <c r="F44" s="792"/>
      <c r="G44" s="793"/>
      <c r="H44" s="752"/>
      <c r="I44" s="752"/>
      <c r="K44" s="41"/>
    </row>
    <row r="45" spans="1:11" ht="16.5" x14ac:dyDescent="0.3">
      <c r="A45" s="41"/>
      <c r="B45" s="409"/>
      <c r="C45" s="420">
        <v>1</v>
      </c>
      <c r="D45" s="730" t="s">
        <v>102</v>
      </c>
      <c r="E45" s="731"/>
      <c r="F45" s="421">
        <f>'8.IRR+FG'!K95</f>
        <v>4.2557021343134771E-2</v>
      </c>
      <c r="G45" s="110" t="s">
        <v>454</v>
      </c>
      <c r="H45" s="422"/>
      <c r="I45" s="419"/>
      <c r="K45" s="41"/>
    </row>
    <row r="46" spans="1:11" ht="16.5" x14ac:dyDescent="0.3">
      <c r="A46" s="41"/>
      <c r="B46" s="409"/>
      <c r="C46" s="420">
        <v>2</v>
      </c>
      <c r="D46" s="730" t="s">
        <v>103</v>
      </c>
      <c r="E46" s="731"/>
      <c r="F46" s="62">
        <f>'8.IRR+FG'!K96</f>
        <v>50646.438580596579</v>
      </c>
      <c r="G46" s="110" t="s">
        <v>455</v>
      </c>
      <c r="H46" s="423"/>
      <c r="I46" s="419"/>
      <c r="K46" s="41"/>
    </row>
    <row r="47" spans="1:11" ht="16.5" hidden="1" x14ac:dyDescent="0.3">
      <c r="A47" s="41"/>
      <c r="B47" s="409"/>
      <c r="C47" s="420">
        <v>3</v>
      </c>
      <c r="D47" s="730" t="s">
        <v>499</v>
      </c>
      <c r="E47" s="731"/>
      <c r="F47" s="437">
        <f>'8.IRR+FG'!K97</f>
        <v>1.226055052303302</v>
      </c>
      <c r="G47" s="110" t="s">
        <v>500</v>
      </c>
      <c r="K47" s="41"/>
    </row>
    <row r="48" spans="1:11" ht="16.5" x14ac:dyDescent="0.3">
      <c r="A48" s="41"/>
      <c r="B48" s="409"/>
      <c r="K48" s="41"/>
    </row>
    <row r="49" spans="1:11" ht="17.25" thickBot="1" x14ac:dyDescent="0.3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7.25" thickBot="1" x14ac:dyDescent="0.35">
      <c r="A50" s="41"/>
      <c r="B50" s="41"/>
      <c r="C50" s="615" t="s">
        <v>502</v>
      </c>
      <c r="D50" s="616"/>
      <c r="E50" s="616"/>
      <c r="F50" s="41"/>
      <c r="G50" s="41"/>
      <c r="H50" s="41"/>
      <c r="I50" s="41"/>
      <c r="J50" s="41"/>
      <c r="K50" s="41"/>
    </row>
    <row r="51" spans="1:11" ht="16.5" hidden="1" x14ac:dyDescent="0.3">
      <c r="A51" s="41"/>
      <c r="B51" s="409"/>
      <c r="K51" s="41"/>
    </row>
    <row r="52" spans="1:11" ht="16.5" x14ac:dyDescent="0.3">
      <c r="A52" s="41"/>
      <c r="B52" s="409"/>
      <c r="C52" s="753" t="s">
        <v>495</v>
      </c>
      <c r="D52" s="754"/>
      <c r="E52" s="754"/>
      <c r="F52" s="734"/>
      <c r="G52" s="438"/>
      <c r="H52" s="438"/>
      <c r="I52" s="419"/>
      <c r="J52" s="419"/>
      <c r="K52" s="41"/>
    </row>
    <row r="53" spans="1:11" ht="15" customHeight="1" x14ac:dyDescent="0.3">
      <c r="A53" s="41"/>
      <c r="B53" s="409"/>
      <c r="C53" s="755" t="s">
        <v>106</v>
      </c>
      <c r="D53" s="755"/>
      <c r="E53" s="755"/>
      <c r="F53" s="755"/>
      <c r="G53" s="741" t="s">
        <v>107</v>
      </c>
      <c r="H53" s="741" t="s">
        <v>108</v>
      </c>
      <c r="I53" s="741" t="s">
        <v>109</v>
      </c>
      <c r="J53" s="439"/>
      <c r="K53" s="41"/>
    </row>
    <row r="54" spans="1:11" ht="29.45" customHeight="1" x14ac:dyDescent="0.3">
      <c r="A54" s="41"/>
      <c r="B54" s="409"/>
      <c r="C54" s="755"/>
      <c r="D54" s="755"/>
      <c r="E54" s="755"/>
      <c r="F54" s="755"/>
      <c r="G54" s="742"/>
      <c r="H54" s="742"/>
      <c r="I54" s="742"/>
      <c r="J54" s="440"/>
      <c r="K54" s="41"/>
    </row>
    <row r="55" spans="1:11" ht="16.5" x14ac:dyDescent="0.3">
      <c r="A55" s="41"/>
      <c r="B55" s="409"/>
      <c r="C55" s="441">
        <v>1</v>
      </c>
      <c r="D55" s="739" t="str">
        <f>'4.Investitie'!C10</f>
        <v>Proiectare</v>
      </c>
      <c r="E55" s="739"/>
      <c r="F55" s="739"/>
      <c r="G55" s="442">
        <f>'4.Investitie'!K10</f>
        <v>6441558.1734587345</v>
      </c>
      <c r="H55" s="442">
        <f>'4.Investitie'!S10</f>
        <v>1288311.6346917469</v>
      </c>
      <c r="I55" s="442">
        <f>'4.Investitie'!M10</f>
        <v>5153246.5387669876</v>
      </c>
      <c r="J55" s="443"/>
      <c r="K55" s="41"/>
    </row>
    <row r="56" spans="1:11" ht="16.5" x14ac:dyDescent="0.3">
      <c r="A56" s="41"/>
      <c r="B56" s="409"/>
      <c r="C56" s="441">
        <f>C55+1</f>
        <v>2</v>
      </c>
      <c r="D56" s="739" t="str">
        <f>'4.Investitie'!C11</f>
        <v>Achizitie teren</v>
      </c>
      <c r="E56" s="739"/>
      <c r="F56" s="739"/>
      <c r="G56" s="442">
        <f>'4.Investitie'!K11</f>
        <v>0</v>
      </c>
      <c r="H56" s="442">
        <f>'4.Investitie'!S11</f>
        <v>0</v>
      </c>
      <c r="I56" s="442">
        <f>'4.Investitie'!M11</f>
        <v>0</v>
      </c>
      <c r="J56" s="443"/>
      <c r="K56" s="41"/>
    </row>
    <row r="57" spans="1:11" ht="16.5" x14ac:dyDescent="0.3">
      <c r="A57" s="41"/>
      <c r="B57" s="409"/>
      <c r="C57" s="441">
        <f t="shared" ref="C57:C65" si="2">C56+1</f>
        <v>3</v>
      </c>
      <c r="D57" s="739" t="str">
        <f>'4.Investitie'!C12</f>
        <v>Constructii</v>
      </c>
      <c r="E57" s="739"/>
      <c r="F57" s="739"/>
      <c r="G57" s="442">
        <f>'4.Investitie'!K12</f>
        <v>285408062.30763423</v>
      </c>
      <c r="H57" s="442">
        <f>'4.Investitie'!S12</f>
        <v>53749648.887187183</v>
      </c>
      <c r="I57" s="442">
        <f>'4.Investitie'!M12</f>
        <v>231658413.42044705</v>
      </c>
      <c r="J57" s="443"/>
      <c r="K57" s="41"/>
    </row>
    <row r="58" spans="1:11" ht="15" customHeight="1" x14ac:dyDescent="0.3">
      <c r="A58" s="41"/>
      <c r="B58" s="409"/>
      <c r="C58" s="441">
        <f t="shared" si="2"/>
        <v>4</v>
      </c>
      <c r="D58" s="739" t="str">
        <f>'4.Investitie'!C13</f>
        <v>Instalatii si echipamente</v>
      </c>
      <c r="E58" s="739"/>
      <c r="F58" s="739"/>
      <c r="G58" s="442">
        <f>'4.Investitie'!K13</f>
        <v>0</v>
      </c>
      <c r="H58" s="442">
        <f>'4.Investitie'!S13</f>
        <v>0</v>
      </c>
      <c r="I58" s="442">
        <f>'4.Investitie'!M13</f>
        <v>0</v>
      </c>
      <c r="J58" s="443"/>
      <c r="K58" s="41"/>
    </row>
    <row r="59" spans="1:11" ht="15" customHeight="1" x14ac:dyDescent="0.3">
      <c r="A59" s="41"/>
      <c r="B59" s="409"/>
      <c r="C59" s="441">
        <f t="shared" si="2"/>
        <v>5</v>
      </c>
      <c r="D59" s="739" t="str">
        <f>'4.Investitie'!C14</f>
        <v>Diverse si neprevazute</v>
      </c>
      <c r="E59" s="739"/>
      <c r="F59" s="739"/>
      <c r="G59" s="442">
        <f>'4.Investitie'!K14</f>
        <v>6632960.3678441253</v>
      </c>
      <c r="H59" s="442">
        <f>'4.Investitie'!S14</f>
        <v>0</v>
      </c>
      <c r="I59" s="442">
        <f>'4.Investitie'!M14</f>
        <v>6632960.3678441253</v>
      </c>
      <c r="J59" s="443"/>
      <c r="K59" s="41"/>
    </row>
    <row r="60" spans="1:11" ht="16.5" x14ac:dyDescent="0.3">
      <c r="A60" s="41"/>
      <c r="B60" s="409"/>
      <c r="C60" s="441">
        <f t="shared" si="2"/>
        <v>6</v>
      </c>
      <c r="D60" s="739" t="str">
        <f>'4.Investitie'!C15</f>
        <v>Publicitate</v>
      </c>
      <c r="E60" s="739"/>
      <c r="F60" s="739"/>
      <c r="G60" s="442">
        <f>'4.Investitie'!K15</f>
        <v>173535</v>
      </c>
      <c r="H60" s="442">
        <f>'4.Investitie'!S15</f>
        <v>0</v>
      </c>
      <c r="I60" s="442">
        <f>'4.Investitie'!M15</f>
        <v>173535</v>
      </c>
      <c r="J60" s="443"/>
      <c r="K60" s="41"/>
    </row>
    <row r="61" spans="1:11" ht="16.5" x14ac:dyDescent="0.3">
      <c r="A61" s="41"/>
      <c r="B61" s="409"/>
      <c r="C61" s="441">
        <f t="shared" si="2"/>
        <v>7</v>
      </c>
      <c r="D61" s="739" t="str">
        <f>'4.Investitie'!C16</f>
        <v>Supervizare</v>
      </c>
      <c r="E61" s="739"/>
      <c r="F61" s="739"/>
      <c r="G61" s="442">
        <f>'4.Investitie'!K16</f>
        <v>3224221.2248901566</v>
      </c>
      <c r="H61" s="442">
        <f>'4.Investitie'!S16</f>
        <v>644844.24497803138</v>
      </c>
      <c r="I61" s="442">
        <f>'4.Investitie'!M16</f>
        <v>2579376.9799121255</v>
      </c>
      <c r="J61" s="443"/>
      <c r="K61" s="41"/>
    </row>
    <row r="62" spans="1:11" ht="16.5" x14ac:dyDescent="0.3">
      <c r="A62" s="41"/>
      <c r="B62" s="409"/>
      <c r="C62" s="441">
        <f t="shared" si="2"/>
        <v>8</v>
      </c>
      <c r="D62" s="739" t="str">
        <f>'4.Investitie'!C17</f>
        <v>Asistenta tehnica</v>
      </c>
      <c r="E62" s="739"/>
      <c r="F62" s="739"/>
      <c r="G62" s="442">
        <f>'4.Investitie'!K17</f>
        <v>2914598.4389403122</v>
      </c>
      <c r="H62" s="442">
        <f>'4.Investitie'!S17</f>
        <v>2790092.4408592945</v>
      </c>
      <c r="I62" s="442">
        <f>'4.Investitie'!M17</f>
        <v>124505.99808101763</v>
      </c>
      <c r="J62" s="443"/>
      <c r="K62" s="41"/>
    </row>
    <row r="63" spans="1:11" ht="16.5" x14ac:dyDescent="0.3">
      <c r="A63" s="41"/>
      <c r="B63" s="409"/>
      <c r="C63" s="444">
        <f t="shared" si="2"/>
        <v>9</v>
      </c>
      <c r="D63" s="740" t="str">
        <f>'4.Investitie'!C18</f>
        <v>Sub-TOTAL</v>
      </c>
      <c r="E63" s="740"/>
      <c r="F63" s="740"/>
      <c r="G63" s="445">
        <f>SUM(G55:G62)</f>
        <v>304794935.51276755</v>
      </c>
      <c r="H63" s="445">
        <f t="shared" ref="H63:I63" si="3">SUM(H55:H62)</f>
        <v>58472897.207716256</v>
      </c>
      <c r="I63" s="445">
        <f t="shared" si="3"/>
        <v>246322038.30505133</v>
      </c>
      <c r="J63" s="446"/>
      <c r="K63" s="41"/>
    </row>
    <row r="64" spans="1:11" ht="16.5" x14ac:dyDescent="0.3">
      <c r="A64" s="41"/>
      <c r="B64" s="409"/>
      <c r="C64" s="441">
        <f t="shared" si="2"/>
        <v>10</v>
      </c>
      <c r="D64" s="739" t="str">
        <f>'4.Investitie'!C19</f>
        <v>(TVA)</v>
      </c>
      <c r="E64" s="739"/>
      <c r="F64" s="739"/>
      <c r="G64" s="442">
        <f>'4.Investitie'!K19</f>
        <v>57495472.211946428</v>
      </c>
      <c r="H64" s="442">
        <f>'4.Investitie'!S19</f>
        <v>57495472.211946428</v>
      </c>
      <c r="I64" s="442">
        <v>0</v>
      </c>
      <c r="J64" s="443"/>
      <c r="K64" s="41"/>
    </row>
    <row r="65" spans="1:11" ht="16.5" x14ac:dyDescent="0.3">
      <c r="A65" s="41"/>
      <c r="B65" s="409"/>
      <c r="C65" s="441">
        <f t="shared" si="2"/>
        <v>11</v>
      </c>
      <c r="D65" s="740" t="s">
        <v>46</v>
      </c>
      <c r="E65" s="740"/>
      <c r="F65" s="740"/>
      <c r="G65" s="445">
        <f>SUM(G63:G64)</f>
        <v>362290407.72471398</v>
      </c>
      <c r="H65" s="445">
        <f t="shared" ref="H65:I65" si="4">SUM(H63:H64)</f>
        <v>115968369.41966268</v>
      </c>
      <c r="I65" s="445">
        <f t="shared" si="4"/>
        <v>246322038.30505133</v>
      </c>
      <c r="J65" s="446"/>
      <c r="K65" s="41"/>
    </row>
    <row r="66" spans="1:11" ht="16.5" x14ac:dyDescent="0.3">
      <c r="A66" s="41"/>
      <c r="B66" s="409"/>
      <c r="C66" s="447"/>
      <c r="G66" s="448"/>
      <c r="H66" s="449"/>
      <c r="K66" s="41"/>
    </row>
    <row r="67" spans="1:11" s="419" customFormat="1" ht="16.5" x14ac:dyDescent="0.3">
      <c r="A67" s="41"/>
      <c r="B67" s="450"/>
      <c r="C67" s="753" t="s">
        <v>496</v>
      </c>
      <c r="D67" s="754"/>
      <c r="E67" s="754"/>
      <c r="F67" s="734"/>
      <c r="G67" s="438"/>
      <c r="I67" s="451"/>
      <c r="J67" s="451"/>
      <c r="K67" s="41"/>
    </row>
    <row r="68" spans="1:11" s="419" customFormat="1" ht="16.5" x14ac:dyDescent="0.3">
      <c r="A68" s="41"/>
      <c r="B68" s="450"/>
      <c r="C68" s="743"/>
      <c r="D68" s="766" t="s">
        <v>106</v>
      </c>
      <c r="E68" s="767"/>
      <c r="F68" s="768"/>
      <c r="G68" s="777" t="s">
        <v>57</v>
      </c>
      <c r="I68" s="451"/>
      <c r="J68" s="451"/>
      <c r="K68" s="41"/>
    </row>
    <row r="69" spans="1:11" s="419" customFormat="1" ht="16.5" x14ac:dyDescent="0.3">
      <c r="A69" s="41"/>
      <c r="B69" s="450"/>
      <c r="C69" s="765"/>
      <c r="D69" s="769"/>
      <c r="E69" s="770"/>
      <c r="F69" s="771"/>
      <c r="G69" s="778"/>
      <c r="H69" s="452"/>
      <c r="I69" s="451"/>
      <c r="J69" s="451"/>
      <c r="K69" s="41"/>
    </row>
    <row r="70" spans="1:11" s="419" customFormat="1" ht="24" customHeight="1" x14ac:dyDescent="0.3">
      <c r="A70" s="41"/>
      <c r="B70" s="450"/>
      <c r="C70" s="110">
        <v>1</v>
      </c>
      <c r="D70" s="736" t="s">
        <v>504</v>
      </c>
      <c r="E70" s="737"/>
      <c r="F70" s="738"/>
      <c r="G70" s="597">
        <f>I65</f>
        <v>246322038.30505133</v>
      </c>
      <c r="H70" s="453"/>
      <c r="I70" s="451"/>
      <c r="J70" s="451"/>
      <c r="K70" s="41"/>
    </row>
    <row r="71" spans="1:11" s="419" customFormat="1" ht="27" customHeight="1" x14ac:dyDescent="0.3">
      <c r="A71" s="41"/>
      <c r="B71" s="450"/>
      <c r="C71" s="110">
        <f>C70+1</f>
        <v>2</v>
      </c>
      <c r="D71" s="736" t="s">
        <v>506</v>
      </c>
      <c r="E71" s="737"/>
      <c r="F71" s="738"/>
      <c r="G71" s="454">
        <f>F19</f>
        <v>1</v>
      </c>
      <c r="H71" s="455"/>
      <c r="I71" s="451"/>
      <c r="J71" s="451"/>
      <c r="K71" s="41"/>
    </row>
    <row r="72" spans="1:11" s="419" customFormat="1" ht="25.5" customHeight="1" x14ac:dyDescent="0.3">
      <c r="A72" s="41"/>
      <c r="B72" s="450"/>
      <c r="C72" s="110">
        <f>C71+1</f>
        <v>3</v>
      </c>
      <c r="D72" s="736" t="s">
        <v>110</v>
      </c>
      <c r="E72" s="737"/>
      <c r="F72" s="738"/>
      <c r="G72" s="597">
        <f>G70*G71</f>
        <v>246322038.30505133</v>
      </c>
      <c r="H72" s="423"/>
      <c r="I72" s="451"/>
      <c r="J72" s="451"/>
      <c r="K72" s="41"/>
    </row>
    <row r="73" spans="1:11" s="419" customFormat="1" ht="19.5" customHeight="1" x14ac:dyDescent="0.3">
      <c r="A73" s="41"/>
      <c r="B73" s="450"/>
      <c r="C73" s="110">
        <f>C72+1</f>
        <v>4</v>
      </c>
      <c r="D73" s="736" t="s">
        <v>92</v>
      </c>
      <c r="E73" s="737"/>
      <c r="F73" s="738"/>
      <c r="G73" s="456">
        <f>F19</f>
        <v>1</v>
      </c>
      <c r="I73" s="451"/>
      <c r="J73" s="451"/>
      <c r="K73" s="41"/>
    </row>
    <row r="74" spans="1:11" s="419" customFormat="1" ht="22.5" customHeight="1" x14ac:dyDescent="0.3">
      <c r="A74" s="41"/>
      <c r="B74" s="450"/>
      <c r="C74" s="110">
        <f>C73+1</f>
        <v>5</v>
      </c>
      <c r="D74" s="736" t="s">
        <v>667</v>
      </c>
      <c r="E74" s="737"/>
      <c r="F74" s="738"/>
      <c r="G74" s="597">
        <f>G72*G73</f>
        <v>246322038.30505133</v>
      </c>
      <c r="H74" s="447"/>
      <c r="I74" s="451"/>
      <c r="J74" s="451"/>
      <c r="K74" s="41"/>
    </row>
    <row r="75" spans="1:11" s="419" customFormat="1" ht="16.5" x14ac:dyDescent="0.3">
      <c r="A75" s="41"/>
      <c r="B75" s="450"/>
      <c r="G75" s="457"/>
      <c r="I75" s="451"/>
      <c r="J75" s="451"/>
      <c r="K75" s="41"/>
    </row>
    <row r="76" spans="1:11" s="419" customFormat="1" ht="16.5" x14ac:dyDescent="0.3">
      <c r="A76" s="41"/>
      <c r="B76" s="450"/>
      <c r="C76" s="733" t="s">
        <v>503</v>
      </c>
      <c r="D76" s="734"/>
      <c r="E76" s="734"/>
      <c r="F76" s="734"/>
      <c r="G76" s="457"/>
      <c r="I76" s="451"/>
      <c r="J76" s="451"/>
      <c r="K76" s="41"/>
    </row>
    <row r="77" spans="1:11" s="419" customFormat="1" ht="16.5" x14ac:dyDescent="0.3">
      <c r="A77" s="41"/>
      <c r="B77" s="450"/>
      <c r="D77" s="735" t="s">
        <v>112</v>
      </c>
      <c r="E77" s="735"/>
      <c r="F77" s="735"/>
      <c r="G77" s="735"/>
      <c r="H77" s="735"/>
      <c r="I77" s="451"/>
      <c r="J77" s="451"/>
      <c r="K77" s="41"/>
    </row>
    <row r="78" spans="1:11" s="419" customFormat="1" ht="27" x14ac:dyDescent="0.3">
      <c r="A78" s="41"/>
      <c r="B78" s="450"/>
      <c r="D78" s="458" t="s">
        <v>505</v>
      </c>
      <c r="E78" s="458" t="s">
        <v>666</v>
      </c>
      <c r="F78" s="458" t="s">
        <v>663</v>
      </c>
      <c r="G78" s="458" t="s">
        <v>93</v>
      </c>
      <c r="H78" s="458" t="s">
        <v>94</v>
      </c>
      <c r="I78" s="459"/>
      <c r="J78" s="459"/>
      <c r="K78" s="41"/>
    </row>
    <row r="79" spans="1:11" s="419" customFormat="1" ht="16.5" x14ac:dyDescent="0.3">
      <c r="A79" s="41"/>
      <c r="B79" s="450"/>
      <c r="D79" s="460" t="s">
        <v>95</v>
      </c>
      <c r="E79" s="460" t="s">
        <v>96</v>
      </c>
      <c r="F79" s="460" t="s">
        <v>97</v>
      </c>
      <c r="G79" s="460" t="s">
        <v>98</v>
      </c>
      <c r="H79" s="460" t="s">
        <v>99</v>
      </c>
      <c r="I79" s="461"/>
      <c r="J79" s="461"/>
      <c r="K79" s="41"/>
    </row>
    <row r="80" spans="1:11" s="419" customFormat="1" ht="16.5" x14ac:dyDescent="0.3">
      <c r="A80" s="41"/>
      <c r="B80" s="450"/>
      <c r="D80" s="462">
        <f>E80+F80+G80+H80</f>
        <v>362290407.72471404</v>
      </c>
      <c r="E80" s="462">
        <f>'9.Surse de finantare'!F7</f>
        <v>246322038.30505133</v>
      </c>
      <c r="F80" s="462">
        <f>'9.Surse de finantare'!F11+'9.Surse de finantare'!F13+'9.Surse de finantare'!E16+'9.Surse de finantare'!G25+'9.Surse de finantare'!G20</f>
        <v>115968369.41966268</v>
      </c>
      <c r="G80" s="462">
        <v>0</v>
      </c>
      <c r="H80" s="462">
        <v>0</v>
      </c>
      <c r="I80" s="447"/>
      <c r="J80" s="447"/>
      <c r="K80" s="41"/>
    </row>
    <row r="81" spans="1:11" s="419" customFormat="1" ht="16.5" x14ac:dyDescent="0.3">
      <c r="A81" s="41"/>
      <c r="B81" s="450"/>
      <c r="K81" s="41"/>
    </row>
    <row r="82" spans="1:11" s="419" customFormat="1" ht="16.5" x14ac:dyDescent="0.3">
      <c r="A82" s="41"/>
      <c r="B82" s="450"/>
      <c r="C82" s="721" t="s">
        <v>665</v>
      </c>
      <c r="D82" s="721"/>
      <c r="E82" s="721"/>
      <c r="F82" s="721"/>
      <c r="K82" s="41"/>
    </row>
    <row r="83" spans="1:11" s="419" customFormat="1" ht="16.5" x14ac:dyDescent="0.3">
      <c r="A83" s="41"/>
      <c r="B83" s="450"/>
      <c r="K83" s="41"/>
    </row>
    <row r="84" spans="1:11" s="419" customFormat="1" ht="16.5" x14ac:dyDescent="0.3">
      <c r="A84" s="41"/>
      <c r="B84" s="450"/>
      <c r="C84" s="420" t="s">
        <v>111</v>
      </c>
      <c r="D84" s="460">
        <v>2023</v>
      </c>
      <c r="E84" s="460">
        <f t="shared" ref="E84" si="5">D84+1</f>
        <v>2024</v>
      </c>
      <c r="F84" s="460">
        <f t="shared" ref="F84" si="6">E84+1</f>
        <v>2025</v>
      </c>
      <c r="G84" s="460">
        <f t="shared" ref="G84:H84" si="7">F84+1</f>
        <v>2026</v>
      </c>
      <c r="H84" s="460">
        <f t="shared" si="7"/>
        <v>2027</v>
      </c>
      <c r="I84" s="461"/>
      <c r="J84" s="461"/>
      <c r="K84" s="41"/>
    </row>
    <row r="85" spans="1:11" s="419" customFormat="1" ht="16.5" x14ac:dyDescent="0.3">
      <c r="A85" s="41"/>
      <c r="B85" s="450"/>
      <c r="C85" s="463" t="s">
        <v>664</v>
      </c>
      <c r="D85" s="464">
        <f>'8.IRR+FG'!P60</f>
        <v>0</v>
      </c>
      <c r="E85" s="464">
        <f>'8.IRR+FG'!Q60</f>
        <v>659500</v>
      </c>
      <c r="F85" s="464">
        <f>'8.IRR+FG'!R60</f>
        <v>63304454.749578759</v>
      </c>
      <c r="G85" s="464">
        <f>'8.IRR+FG'!S60</f>
        <v>115953879.83872533</v>
      </c>
      <c r="H85" s="464">
        <f>'8.IRR+FG'!T60</f>
        <v>66404203.716747239</v>
      </c>
      <c r="I85" s="465"/>
      <c r="J85" s="465"/>
      <c r="K85" s="41"/>
    </row>
    <row r="86" spans="1:11" s="419" customFormat="1" ht="16.5" x14ac:dyDescent="0.3">
      <c r="A86" s="41"/>
      <c r="B86" s="450"/>
      <c r="G86" s="457"/>
      <c r="I86" s="451"/>
      <c r="J86" s="451"/>
      <c r="K86" s="41"/>
    </row>
    <row r="87" spans="1:11" ht="16.5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1:11" s="408" customFormat="1" ht="12.75" customHeight="1" x14ac:dyDescent="0.25"/>
    <row r="89" spans="1:11" s="408" customFormat="1" ht="12.75" customHeight="1" x14ac:dyDescent="0.25"/>
    <row r="90" spans="1:11" s="408" customFormat="1" ht="12.75" customHeight="1" x14ac:dyDescent="0.25"/>
    <row r="91" spans="1:11" s="408" customFormat="1" ht="12.75" customHeight="1" x14ac:dyDescent="0.25"/>
    <row r="92" spans="1:11" s="408" customFormat="1" ht="12.75" customHeight="1" x14ac:dyDescent="0.25"/>
    <row r="93" spans="1:11" s="408" customFormat="1" ht="12.75" customHeight="1" x14ac:dyDescent="0.25"/>
    <row r="94" spans="1:11" s="408" customFormat="1" ht="12.75" customHeight="1" x14ac:dyDescent="0.25"/>
    <row r="95" spans="1:11" s="408" customFormat="1" ht="12.75" customHeight="1" x14ac:dyDescent="0.25"/>
    <row r="96" spans="1:11" s="408" customFormat="1" ht="12.75" customHeight="1" x14ac:dyDescent="0.25"/>
    <row r="97" s="408" customFormat="1" ht="12.75" customHeight="1" x14ac:dyDescent="0.25"/>
    <row r="98" s="408" customFormat="1" ht="12.75" customHeight="1" x14ac:dyDescent="0.25"/>
    <row r="99" s="408" customFormat="1" ht="12.75" customHeight="1" x14ac:dyDescent="0.25"/>
    <row r="100" s="408" customFormat="1" ht="12.75" customHeight="1" x14ac:dyDescent="0.25"/>
    <row r="101" s="408" customFormat="1" ht="12.75" customHeight="1" x14ac:dyDescent="0.25"/>
    <row r="102" s="408" customFormat="1" ht="12.75" customHeight="1" x14ac:dyDescent="0.25"/>
    <row r="103" s="408" customFormat="1" ht="12.75" customHeight="1" x14ac:dyDescent="0.25"/>
    <row r="104" s="408" customFormat="1" ht="12.75" customHeight="1" x14ac:dyDescent="0.25"/>
    <row r="105" s="408" customFormat="1" ht="12.75" customHeight="1" x14ac:dyDescent="0.25"/>
    <row r="106" s="408" customFormat="1" ht="12.75" customHeight="1" x14ac:dyDescent="0.25"/>
    <row r="107" s="408" customFormat="1" ht="12.75" customHeight="1" x14ac:dyDescent="0.25"/>
    <row r="108" s="408" customFormat="1" ht="12.75" customHeight="1" x14ac:dyDescent="0.25"/>
    <row r="109" s="408" customFormat="1" ht="12.75" customHeight="1" x14ac:dyDescent="0.25"/>
    <row r="110" s="408" customFormat="1" ht="12.75" customHeight="1" x14ac:dyDescent="0.25"/>
    <row r="111" s="408" customFormat="1" ht="12.75" customHeight="1" x14ac:dyDescent="0.25"/>
    <row r="112" s="408" customFormat="1" ht="12.75" customHeight="1" x14ac:dyDescent="0.25"/>
    <row r="113" s="408" customFormat="1" ht="12.75" customHeight="1" x14ac:dyDescent="0.25"/>
    <row r="114" s="408" customFormat="1" ht="12.75" customHeight="1" x14ac:dyDescent="0.25"/>
    <row r="115" s="408" customFormat="1" ht="12.75" customHeight="1" x14ac:dyDescent="0.25"/>
    <row r="116" s="408" customFormat="1" ht="12.75" customHeight="1" x14ac:dyDescent="0.25"/>
    <row r="117" s="408" customFormat="1" ht="12.75" customHeight="1" x14ac:dyDescent="0.25"/>
    <row r="118" s="408" customFormat="1" ht="12.75" customHeight="1" x14ac:dyDescent="0.25"/>
    <row r="119" s="408" customFormat="1" ht="12.75" customHeight="1" x14ac:dyDescent="0.25"/>
    <row r="120" s="408" customFormat="1" ht="12.75" customHeight="1" x14ac:dyDescent="0.25"/>
    <row r="121" s="408" customFormat="1" ht="12.75" customHeight="1" x14ac:dyDescent="0.25"/>
    <row r="122" s="408" customFormat="1" ht="12.75" customHeight="1" x14ac:dyDescent="0.25"/>
    <row r="123" s="408" customFormat="1" ht="12.75" customHeight="1" x14ac:dyDescent="0.25"/>
    <row r="124" s="408" customFormat="1" ht="12.75" customHeight="1" x14ac:dyDescent="0.25"/>
    <row r="125" s="408" customFormat="1" ht="12.75" customHeight="1" x14ac:dyDescent="0.25"/>
    <row r="126" s="408" customFormat="1" ht="12.75" customHeight="1" x14ac:dyDescent="0.25"/>
    <row r="127" s="408" customFormat="1" ht="12.75" customHeight="1" x14ac:dyDescent="0.25"/>
    <row r="128" s="408" customFormat="1" ht="12.75" customHeight="1" x14ac:dyDescent="0.25"/>
    <row r="129" s="408" customFormat="1" ht="12.75" customHeight="1" x14ac:dyDescent="0.25"/>
    <row r="130" s="408" customFormat="1" ht="12.75" customHeight="1" x14ac:dyDescent="0.25"/>
    <row r="131" s="408" customFormat="1" ht="12.75" customHeight="1" x14ac:dyDescent="0.25"/>
    <row r="132" s="408" customFormat="1" ht="12.75" customHeight="1" x14ac:dyDescent="0.25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</sheetData>
  <mergeCells count="78">
    <mergeCell ref="H38:H39"/>
    <mergeCell ref="D40:E40"/>
    <mergeCell ref="D45:E45"/>
    <mergeCell ref="D46:E46"/>
    <mergeCell ref="D47:E47"/>
    <mergeCell ref="D43:G44"/>
    <mergeCell ref="D72:F72"/>
    <mergeCell ref="D55:F55"/>
    <mergeCell ref="D56:F56"/>
    <mergeCell ref="D57:F57"/>
    <mergeCell ref="D58:F58"/>
    <mergeCell ref="D59:F59"/>
    <mergeCell ref="D60:F60"/>
    <mergeCell ref="C6:E6"/>
    <mergeCell ref="C28:E28"/>
    <mergeCell ref="C30:H30"/>
    <mergeCell ref="C31:C32"/>
    <mergeCell ref="D31:E32"/>
    <mergeCell ref="F31:F32"/>
    <mergeCell ref="G31:G32"/>
    <mergeCell ref="H31:H32"/>
    <mergeCell ref="C21:H21"/>
    <mergeCell ref="H9:H11"/>
    <mergeCell ref="D15:F15"/>
    <mergeCell ref="C16:H16"/>
    <mergeCell ref="D18:F18"/>
    <mergeCell ref="D19:E19"/>
    <mergeCell ref="C68:C69"/>
    <mergeCell ref="D68:F69"/>
    <mergeCell ref="D70:F70"/>
    <mergeCell ref="D71:F71"/>
    <mergeCell ref="G9:G11"/>
    <mergeCell ref="D37:E37"/>
    <mergeCell ref="G68:G69"/>
    <mergeCell ref="D34:E34"/>
    <mergeCell ref="D33:E33"/>
    <mergeCell ref="D35:E35"/>
    <mergeCell ref="D36:E36"/>
    <mergeCell ref="G38:G39"/>
    <mergeCell ref="C50:E50"/>
    <mergeCell ref="C42:H42"/>
    <mergeCell ref="C43:C44"/>
    <mergeCell ref="D64:F64"/>
    <mergeCell ref="D65:F65"/>
    <mergeCell ref="C67:F67"/>
    <mergeCell ref="H43:I44"/>
    <mergeCell ref="D62:F62"/>
    <mergeCell ref="D63:F63"/>
    <mergeCell ref="I53:I54"/>
    <mergeCell ref="D25:E25"/>
    <mergeCell ref="C22:C23"/>
    <mergeCell ref="D22:E23"/>
    <mergeCell ref="F22:G23"/>
    <mergeCell ref="H22:I23"/>
    <mergeCell ref="D24:E24"/>
    <mergeCell ref="C52:F52"/>
    <mergeCell ref="C53:F54"/>
    <mergeCell ref="G53:G54"/>
    <mergeCell ref="H53:H54"/>
    <mergeCell ref="C38:C39"/>
    <mergeCell ref="D38:E39"/>
    <mergeCell ref="F38:F39"/>
    <mergeCell ref="D2:F2"/>
    <mergeCell ref="D3:F3"/>
    <mergeCell ref="C82:F82"/>
    <mergeCell ref="C8:H8"/>
    <mergeCell ref="D17:F17"/>
    <mergeCell ref="D9:F9"/>
    <mergeCell ref="D10:E10"/>
    <mergeCell ref="D11:E11"/>
    <mergeCell ref="D12:F12"/>
    <mergeCell ref="D13:F13"/>
    <mergeCell ref="D14:F14"/>
    <mergeCell ref="C76:F76"/>
    <mergeCell ref="D77:H77"/>
    <mergeCell ref="D73:F73"/>
    <mergeCell ref="D74:F74"/>
    <mergeCell ref="D61:F61"/>
  </mergeCells>
  <pageMargins left="0.44" right="0.33" top="0.47" bottom="0.4" header="0.3" footer="0.3"/>
  <pageSetup paperSize="9" scale="6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42D6-21CC-4383-BA6A-F799F96F519F}">
  <sheetPr>
    <pageSetUpPr fitToPage="1"/>
  </sheetPr>
  <dimension ref="B2:J47"/>
  <sheetViews>
    <sheetView tabSelected="1" topLeftCell="A10" workbookViewId="0">
      <selection activeCell="S37" sqref="S37"/>
    </sheetView>
  </sheetViews>
  <sheetFormatPr defaultColWidth="9.140625" defaultRowHeight="13.5" x14ac:dyDescent="0.25"/>
  <cols>
    <col min="1" max="1" width="5" style="43" customWidth="1"/>
    <col min="2" max="2" width="4.85546875" style="43" customWidth="1"/>
    <col min="3" max="3" width="6.7109375" style="43" customWidth="1"/>
    <col min="4" max="4" width="19" style="43" customWidth="1"/>
    <col min="5" max="5" width="18.140625" style="43" customWidth="1"/>
    <col min="6" max="6" width="12.7109375" style="43" customWidth="1"/>
    <col min="7" max="7" width="11.140625" style="43" customWidth="1"/>
    <col min="8" max="8" width="12.42578125" style="43" customWidth="1"/>
    <col min="9" max="9" width="13.42578125" style="43" customWidth="1"/>
    <col min="10" max="10" width="4.85546875" style="43" customWidth="1"/>
    <col min="11" max="16384" width="9.140625" style="43"/>
  </cols>
  <sheetData>
    <row r="2" spans="2:10" ht="17.25" thickBot="1" x14ac:dyDescent="0.35">
      <c r="B2" s="41"/>
      <c r="C2" s="41"/>
      <c r="D2" s="237"/>
      <c r="E2" s="237"/>
      <c r="F2" s="237"/>
      <c r="G2" s="237"/>
      <c r="H2" s="237"/>
      <c r="I2" s="41"/>
      <c r="J2" s="41"/>
    </row>
    <row r="3" spans="2:10" ht="17.25" thickBot="1" x14ac:dyDescent="0.35">
      <c r="B3" s="41"/>
      <c r="C3" s="615" t="s">
        <v>668</v>
      </c>
      <c r="D3" s="616"/>
      <c r="E3" s="617"/>
      <c r="F3" s="41"/>
      <c r="G3" s="41"/>
      <c r="H3" s="41"/>
      <c r="I3" s="41"/>
      <c r="J3" s="41"/>
    </row>
    <row r="4" spans="2:10" ht="16.5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2:10" s="42" customFormat="1" ht="81" customHeight="1" x14ac:dyDescent="0.3">
      <c r="B5" s="41"/>
      <c r="C5" s="794" t="s">
        <v>507</v>
      </c>
      <c r="D5" s="239" t="s">
        <v>508</v>
      </c>
      <c r="E5" s="239" t="s">
        <v>392</v>
      </c>
      <c r="F5" s="239" t="s">
        <v>509</v>
      </c>
      <c r="G5" s="239" t="s">
        <v>511</v>
      </c>
      <c r="H5" s="794" t="s">
        <v>512</v>
      </c>
      <c r="I5" s="794"/>
      <c r="J5" s="41"/>
    </row>
    <row r="6" spans="2:10" s="42" customFormat="1" ht="28.5" x14ac:dyDescent="0.3">
      <c r="B6" s="41"/>
      <c r="C6" s="794"/>
      <c r="D6" s="240" t="s">
        <v>515</v>
      </c>
      <c r="E6" s="240" t="s">
        <v>15</v>
      </c>
      <c r="F6" s="240" t="s">
        <v>510</v>
      </c>
      <c r="G6" s="240" t="s">
        <v>510</v>
      </c>
      <c r="H6" s="240" t="s">
        <v>510</v>
      </c>
      <c r="I6" s="240" t="s">
        <v>513</v>
      </c>
      <c r="J6" s="41"/>
    </row>
    <row r="7" spans="2:10" ht="16.5" x14ac:dyDescent="0.3">
      <c r="B7" s="41"/>
      <c r="C7" s="238">
        <f>'6.Venituri'!P4</f>
        <v>2024</v>
      </c>
      <c r="D7" s="44">
        <f t="array" ref="D7:D36">TRANSPOSE('6.Venituri'!P37:AS37)</f>
        <v>45502.768489057795</v>
      </c>
      <c r="E7" s="46">
        <f t="array" ref="E7:E36">TRANSPOSE('6.Venituri'!P38:AS38)</f>
        <v>2.3128637948629426E-2</v>
      </c>
      <c r="F7" s="44">
        <f t="array" ref="F7:F36">TRANSPOSE('6.Venituri'!P48:AS48)</f>
        <v>868.20405711823003</v>
      </c>
      <c r="G7" s="44">
        <f t="array" ref="G7:G36">TRANSPOSE('6.Venituri'!P51:AS51)</f>
        <v>629.77494524649524</v>
      </c>
      <c r="H7" s="44">
        <f t="array" ref="H7:H36">TRANSPOSE('6.Venituri'!P50:AS50)</f>
        <v>238.42911187173485</v>
      </c>
      <c r="I7" s="44">
        <f t="shared" ref="I7:I36" si="0">H7*(1+tvat)</f>
        <v>250.3505674653216</v>
      </c>
      <c r="J7" s="41"/>
    </row>
    <row r="8" spans="2:10" ht="16.5" x14ac:dyDescent="0.3">
      <c r="B8" s="41"/>
      <c r="C8" s="238">
        <f>C7+1</f>
        <v>2025</v>
      </c>
      <c r="D8" s="44">
        <v>47413.884765598217</v>
      </c>
      <c r="E8" s="46">
        <v>2.3128637948629426E-2</v>
      </c>
      <c r="F8" s="44">
        <v>826.69535101452595</v>
      </c>
      <c r="G8" s="44">
        <v>576.05914968252318</v>
      </c>
      <c r="H8" s="44">
        <v>250.63620133200277</v>
      </c>
      <c r="I8" s="44">
        <f t="shared" si="0"/>
        <v>263.16801139860291</v>
      </c>
      <c r="J8" s="41"/>
    </row>
    <row r="9" spans="2:10" ht="16.5" x14ac:dyDescent="0.3">
      <c r="B9" s="41"/>
      <c r="C9" s="238">
        <f t="shared" ref="C9:C24" si="1">C8+1</f>
        <v>2026</v>
      </c>
      <c r="D9" s="44">
        <v>49594.923464815744</v>
      </c>
      <c r="E9" s="46">
        <v>2.3128637948629426E-2</v>
      </c>
      <c r="F9" s="44">
        <v>825.90880084500316</v>
      </c>
      <c r="G9" s="44">
        <v>561.42913719478884</v>
      </c>
      <c r="H9" s="44">
        <v>264.47966365021432</v>
      </c>
      <c r="I9" s="44">
        <f t="shared" si="0"/>
        <v>277.70364683272504</v>
      </c>
      <c r="J9" s="41"/>
    </row>
    <row r="10" spans="2:10" ht="16.5" x14ac:dyDescent="0.3">
      <c r="B10" s="41"/>
      <c r="C10" s="238">
        <f t="shared" si="1"/>
        <v>2027</v>
      </c>
      <c r="D10" s="44">
        <v>51628.315326873184</v>
      </c>
      <c r="E10" s="46">
        <v>2.3591210707602013E-2</v>
      </c>
      <c r="F10" s="44">
        <v>800.91764761533261</v>
      </c>
      <c r="G10" s="44">
        <v>517.60889961324369</v>
      </c>
      <c r="H10" s="44">
        <v>283.30874800208886</v>
      </c>
      <c r="I10" s="44">
        <f t="shared" si="0"/>
        <v>297.47418540219331</v>
      </c>
      <c r="J10" s="41"/>
    </row>
    <row r="11" spans="2:10" ht="16.5" x14ac:dyDescent="0.3">
      <c r="B11" s="41"/>
      <c r="C11" s="238">
        <f t="shared" si="1"/>
        <v>2028</v>
      </c>
      <c r="D11" s="44">
        <v>53435.30636331375</v>
      </c>
      <c r="E11" s="46">
        <v>2.4063034921754052E-2</v>
      </c>
      <c r="F11" s="44">
        <v>772.2890307331827</v>
      </c>
      <c r="G11" s="44">
        <v>470.55985518129853</v>
      </c>
      <c r="H11" s="44">
        <v>301.72917555188417</v>
      </c>
      <c r="I11" s="44">
        <f t="shared" si="0"/>
        <v>316.81563432947837</v>
      </c>
      <c r="J11" s="41"/>
    </row>
    <row r="12" spans="2:10" ht="16.5" x14ac:dyDescent="0.3">
      <c r="B12" s="41"/>
      <c r="C12" s="238">
        <f t="shared" si="1"/>
        <v>2029</v>
      </c>
      <c r="D12" s="44">
        <v>55038.36555421316</v>
      </c>
      <c r="E12" s="46">
        <v>2.4544295620189133E-2</v>
      </c>
      <c r="F12" s="44">
        <v>773.85288287028698</v>
      </c>
      <c r="G12" s="44">
        <v>454.05800586165196</v>
      </c>
      <c r="H12" s="44">
        <v>319.79487700863501</v>
      </c>
      <c r="I12" s="44">
        <f t="shared" si="0"/>
        <v>335.78462085906676</v>
      </c>
      <c r="J12" s="41"/>
    </row>
    <row r="13" spans="2:10" ht="16.5" x14ac:dyDescent="0.3">
      <c r="B13" s="41"/>
      <c r="C13" s="238">
        <f t="shared" si="1"/>
        <v>2030</v>
      </c>
      <c r="D13" s="44">
        <v>56689.516520839563</v>
      </c>
      <c r="E13" s="46">
        <v>2.5035181532592918E-2</v>
      </c>
      <c r="F13" s="44">
        <v>775.45872457185931</v>
      </c>
      <c r="G13" s="44">
        <v>436.5164821655319</v>
      </c>
      <c r="H13" s="44">
        <v>338.94224240632741</v>
      </c>
      <c r="I13" s="44">
        <f t="shared" si="0"/>
        <v>355.88935452664379</v>
      </c>
      <c r="J13" s="41"/>
    </row>
    <row r="14" spans="2:10" ht="16.5" x14ac:dyDescent="0.3">
      <c r="B14" s="41"/>
      <c r="C14" s="238">
        <f t="shared" si="1"/>
        <v>2031</v>
      </c>
      <c r="D14" s="44">
        <v>58390.202016464747</v>
      </c>
      <c r="E14" s="46">
        <v>2.5535885163244777E-2</v>
      </c>
      <c r="F14" s="44">
        <v>777.10450981937868</v>
      </c>
      <c r="G14" s="44">
        <v>417.86847463946697</v>
      </c>
      <c r="H14" s="44">
        <v>359.23603517991171</v>
      </c>
      <c r="I14" s="44">
        <f t="shared" si="0"/>
        <v>377.1978369389073</v>
      </c>
      <c r="J14" s="41"/>
    </row>
    <row r="15" spans="2:10" ht="16.5" x14ac:dyDescent="0.3">
      <c r="B15" s="41"/>
      <c r="C15" s="238">
        <f t="shared" si="1"/>
        <v>2032</v>
      </c>
      <c r="D15" s="44">
        <v>60141.908076958694</v>
      </c>
      <c r="E15" s="46">
        <v>2.6046602866509672E-2</v>
      </c>
      <c r="F15" s="44">
        <v>787.2931709151909</v>
      </c>
      <c r="G15" s="44">
        <v>406.54827451164454</v>
      </c>
      <c r="H15" s="44">
        <v>380.74489640354636</v>
      </c>
      <c r="I15" s="44">
        <f t="shared" si="0"/>
        <v>399.78214122372367</v>
      </c>
      <c r="J15" s="41"/>
    </row>
    <row r="16" spans="2:10" ht="16.5" x14ac:dyDescent="0.3">
      <c r="B16" s="41"/>
      <c r="C16" s="238">
        <f t="shared" si="1"/>
        <v>2033</v>
      </c>
      <c r="D16" s="44">
        <v>61946.165319267457</v>
      </c>
      <c r="E16" s="46">
        <v>2.6567534923839866E-2</v>
      </c>
      <c r="F16" s="44">
        <v>795.93131786197819</v>
      </c>
      <c r="G16" s="44">
        <v>392.3897409020127</v>
      </c>
      <c r="H16" s="44">
        <v>403.54157695996548</v>
      </c>
      <c r="I16" s="44">
        <f t="shared" si="0"/>
        <v>423.71865580796378</v>
      </c>
      <c r="J16" s="41"/>
    </row>
    <row r="17" spans="2:10" ht="16.5" x14ac:dyDescent="0.3">
      <c r="B17" s="41"/>
      <c r="C17" s="238">
        <f t="shared" si="1"/>
        <v>2034</v>
      </c>
      <c r="D17" s="44">
        <v>63804.550278845491</v>
      </c>
      <c r="E17" s="46">
        <v>2.7098885622316663E-2</v>
      </c>
      <c r="F17" s="44">
        <v>804.81300434904836</v>
      </c>
      <c r="G17" s="44">
        <v>377.10982073831462</v>
      </c>
      <c r="H17" s="44">
        <v>427.70318361073373</v>
      </c>
      <c r="I17" s="44">
        <f t="shared" si="0"/>
        <v>449.08834279127046</v>
      </c>
      <c r="J17" s="41"/>
    </row>
    <row r="18" spans="2:10" ht="16.5" x14ac:dyDescent="0.3">
      <c r="B18" s="41"/>
      <c r="C18" s="238">
        <f t="shared" si="1"/>
        <v>2035</v>
      </c>
      <c r="D18" s="44">
        <v>65718.686787210856</v>
      </c>
      <c r="E18" s="46">
        <v>2.7640863334762997E-2</v>
      </c>
      <c r="F18" s="44">
        <v>813.9471961203518</v>
      </c>
      <c r="G18" s="44">
        <v>360.63575632066772</v>
      </c>
      <c r="H18" s="44">
        <v>453.31143979968408</v>
      </c>
      <c r="I18" s="44">
        <f t="shared" si="0"/>
        <v>475.97701178966832</v>
      </c>
      <c r="J18" s="41"/>
    </row>
    <row r="19" spans="2:10" ht="16.5" x14ac:dyDescent="0.3">
      <c r="B19" s="41"/>
      <c r="C19" s="238">
        <f t="shared" si="1"/>
        <v>2036</v>
      </c>
      <c r="D19" s="44">
        <v>67690.247390827179</v>
      </c>
      <c r="E19" s="46">
        <v>2.8193680601458257E-2</v>
      </c>
      <c r="F19" s="44">
        <v>823.34314827733181</v>
      </c>
      <c r="G19" s="44">
        <v>342.89018620565656</v>
      </c>
      <c r="H19" s="44">
        <v>480.45296207167524</v>
      </c>
      <c r="I19" s="44">
        <f t="shared" si="0"/>
        <v>504.47561017525902</v>
      </c>
      <c r="J19" s="41"/>
    </row>
    <row r="20" spans="2:10" ht="16.5" x14ac:dyDescent="0.3">
      <c r="B20" s="41"/>
      <c r="C20" s="238">
        <f t="shared" si="1"/>
        <v>2037</v>
      </c>
      <c r="D20" s="44">
        <v>69720.954812551994</v>
      </c>
      <c r="E20" s="46">
        <v>2.8757554213487423E-2</v>
      </c>
      <c r="F20" s="44">
        <v>835.61723523082969</v>
      </c>
      <c r="G20" s="44">
        <v>326.39768218921347</v>
      </c>
      <c r="H20" s="44">
        <v>509.21955304161622</v>
      </c>
      <c r="I20" s="44">
        <f t="shared" si="0"/>
        <v>534.68053069369705</v>
      </c>
      <c r="J20" s="41"/>
    </row>
    <row r="21" spans="2:10" ht="16.5" x14ac:dyDescent="0.3">
      <c r="B21" s="41"/>
      <c r="C21" s="238">
        <f t="shared" si="1"/>
        <v>2038</v>
      </c>
      <c r="D21" s="44">
        <v>71812.583456928551</v>
      </c>
      <c r="E21" s="46">
        <v>2.9332705297757174E-2</v>
      </c>
      <c r="F21" s="44">
        <v>848.24013871939792</v>
      </c>
      <c r="G21" s="44">
        <v>308.53162681470997</v>
      </c>
      <c r="H21" s="44">
        <v>539.70851190468795</v>
      </c>
      <c r="I21" s="44">
        <f t="shared" si="0"/>
        <v>566.69393749992241</v>
      </c>
      <c r="J21" s="41"/>
    </row>
    <row r="22" spans="2:10" ht="16.5" x14ac:dyDescent="0.3">
      <c r="B22" s="41"/>
      <c r="C22" s="238">
        <f t="shared" si="1"/>
        <v>2039</v>
      </c>
      <c r="D22" s="44">
        <v>73966.96096063641</v>
      </c>
      <c r="E22" s="46">
        <v>2.9919359403712317E-2</v>
      </c>
      <c r="F22" s="44">
        <v>861.22344026579049</v>
      </c>
      <c r="G22" s="44">
        <v>289.20047672776764</v>
      </c>
      <c r="H22" s="44">
        <v>572.02296353802285</v>
      </c>
      <c r="I22" s="44">
        <f t="shared" si="0"/>
        <v>600.62411171492397</v>
      </c>
      <c r="J22" s="41"/>
    </row>
    <row r="23" spans="2:10" ht="16.5" x14ac:dyDescent="0.3">
      <c r="B23" s="41"/>
      <c r="C23" s="238">
        <f>C22+1</f>
        <v>2040</v>
      </c>
      <c r="D23" s="44">
        <v>76185.969789455514</v>
      </c>
      <c r="E23" s="46">
        <v>3.0517746591786563E-2</v>
      </c>
      <c r="F23" s="44">
        <v>874.57911165969745</v>
      </c>
      <c r="G23" s="44">
        <v>268.30690435271447</v>
      </c>
      <c r="H23" s="44">
        <v>606.27220730698298</v>
      </c>
      <c r="I23" s="44">
        <f t="shared" si="0"/>
        <v>636.58581767233215</v>
      </c>
      <c r="J23" s="41"/>
    </row>
    <row r="24" spans="2:10" ht="16.5" x14ac:dyDescent="0.3">
      <c r="B24" s="41"/>
      <c r="C24" s="238">
        <f t="shared" si="1"/>
        <v>2041</v>
      </c>
      <c r="D24" s="44">
        <v>78471.548883139185</v>
      </c>
      <c r="E24" s="46">
        <v>3.1128101523622293E-2</v>
      </c>
      <c r="F24" s="44">
        <v>888.319527649983</v>
      </c>
      <c r="G24" s="44">
        <v>245.74744089415299</v>
      </c>
      <c r="H24" s="44">
        <v>642.57208675583001</v>
      </c>
      <c r="I24" s="44">
        <f t="shared" si="0"/>
        <v>674.70069109362157</v>
      </c>
      <c r="J24" s="41"/>
    </row>
    <row r="25" spans="2:10" ht="16.5" x14ac:dyDescent="0.3">
      <c r="B25" s="41"/>
      <c r="C25" s="238">
        <f>C24+1</f>
        <v>2042</v>
      </c>
      <c r="D25" s="44">
        <v>80825.695349633359</v>
      </c>
      <c r="E25" s="46">
        <v>3.1750663554094741E-2</v>
      </c>
      <c r="F25" s="44">
        <v>902.45747903630843</v>
      </c>
      <c r="G25" s="44">
        <v>221.41209760309277</v>
      </c>
      <c r="H25" s="44">
        <v>681.04538143321565</v>
      </c>
      <c r="I25" s="44">
        <f t="shared" si="0"/>
        <v>715.09765050487647</v>
      </c>
      <c r="J25" s="41"/>
    </row>
    <row r="26" spans="2:10" ht="16.5" x14ac:dyDescent="0.3">
      <c r="B26" s="41"/>
      <c r="C26" s="238">
        <f t="shared" ref="C26:C36" si="2">C25+1</f>
        <v>2043</v>
      </c>
      <c r="D26" s="44">
        <v>83250.466210122366</v>
      </c>
      <c r="E26" s="46">
        <v>3.2385676825176637E-2</v>
      </c>
      <c r="F26" s="44">
        <v>917.00618617273915</v>
      </c>
      <c r="G26" s="44">
        <v>195.18396399494691</v>
      </c>
      <c r="H26" s="44">
        <v>721.82222217779224</v>
      </c>
      <c r="I26" s="44">
        <f t="shared" si="0"/>
        <v>757.9133332866819</v>
      </c>
      <c r="J26" s="41"/>
    </row>
    <row r="27" spans="2:10" ht="16.5" x14ac:dyDescent="0.3">
      <c r="B27" s="41"/>
      <c r="C27" s="238">
        <f t="shared" si="2"/>
        <v>2044</v>
      </c>
      <c r="D27" s="44">
        <v>85747.98019642604</v>
      </c>
      <c r="E27" s="46">
        <v>3.3033390361680168E-2</v>
      </c>
      <c r="F27" s="44">
        <v>895.54758848092649</v>
      </c>
      <c r="G27" s="44">
        <v>137.2011618609381</v>
      </c>
      <c r="H27" s="44">
        <v>758.34642661998839</v>
      </c>
      <c r="I27" s="44">
        <f t="shared" si="0"/>
        <v>796.26374795098786</v>
      </c>
      <c r="J27" s="41"/>
    </row>
    <row r="28" spans="2:10" ht="16.5" x14ac:dyDescent="0.3">
      <c r="B28" s="41"/>
      <c r="C28" s="238">
        <f t="shared" si="2"/>
        <v>2045</v>
      </c>
      <c r="D28" s="44">
        <v>88320.419602318827</v>
      </c>
      <c r="E28" s="46">
        <v>3.3694058168913771E-2</v>
      </c>
      <c r="F28" s="44">
        <v>907.18952999028659</v>
      </c>
      <c r="G28" s="44">
        <v>110.47077418332663</v>
      </c>
      <c r="H28" s="44">
        <v>796.71875580695996</v>
      </c>
      <c r="I28" s="44">
        <f t="shared" si="0"/>
        <v>836.55469359730796</v>
      </c>
      <c r="J28" s="41"/>
    </row>
    <row r="29" spans="2:10" ht="16.5" x14ac:dyDescent="0.3">
      <c r="B29" s="41"/>
      <c r="C29" s="238">
        <f t="shared" si="2"/>
        <v>2046</v>
      </c>
      <c r="D29" s="44">
        <v>90970.032190388389</v>
      </c>
      <c r="E29" s="46">
        <v>3.4367939332292048E-2</v>
      </c>
      <c r="F29" s="44">
        <v>919.12536096912697</v>
      </c>
      <c r="G29" s="44">
        <v>82.092636118335122</v>
      </c>
      <c r="H29" s="44">
        <v>837.03272485079185</v>
      </c>
      <c r="I29" s="44">
        <f t="shared" si="0"/>
        <v>878.88436109333145</v>
      </c>
      <c r="J29" s="41"/>
    </row>
    <row r="30" spans="2:10" ht="16.5" x14ac:dyDescent="0.3">
      <c r="B30" s="41"/>
      <c r="C30" s="238">
        <f t="shared" si="2"/>
        <v>2047</v>
      </c>
      <c r="D30" s="44">
        <v>93699.133156100041</v>
      </c>
      <c r="E30" s="46">
        <v>3.5055298118937893E-2</v>
      </c>
      <c r="F30" s="44">
        <v>931.36359478659574</v>
      </c>
      <c r="G30" s="44">
        <v>51.977014058353461</v>
      </c>
      <c r="H30" s="44">
        <v>879.38658072824228</v>
      </c>
      <c r="I30" s="44">
        <f t="shared" si="0"/>
        <v>923.35590976465448</v>
      </c>
      <c r="J30" s="41"/>
    </row>
    <row r="31" spans="2:10" ht="16.5" x14ac:dyDescent="0.3">
      <c r="B31" s="41"/>
      <c r="C31" s="238">
        <f t="shared" si="2"/>
        <v>2048</v>
      </c>
      <c r="D31" s="44">
        <v>96510.107150783049</v>
      </c>
      <c r="E31" s="46">
        <v>3.5756404081316653E-2</v>
      </c>
      <c r="F31" s="44">
        <v>943.91298225240075</v>
      </c>
      <c r="G31" s="44">
        <v>20.029440539309348</v>
      </c>
      <c r="H31" s="44">
        <v>923.8835417130914</v>
      </c>
      <c r="I31" s="44">
        <f t="shared" si="0"/>
        <v>970.07771879874599</v>
      </c>
      <c r="J31" s="41"/>
    </row>
    <row r="32" spans="2:10" ht="16.5" x14ac:dyDescent="0.3">
      <c r="B32" s="41"/>
      <c r="C32" s="238">
        <f t="shared" si="2"/>
        <v>2049</v>
      </c>
      <c r="D32" s="44">
        <v>99405.410365306539</v>
      </c>
      <c r="E32" s="46">
        <v>3.6471532162942986E-2</v>
      </c>
      <c r="F32" s="44">
        <v>956.78251788457248</v>
      </c>
      <c r="G32" s="44">
        <v>0</v>
      </c>
      <c r="H32" s="44">
        <v>970.63204892377371</v>
      </c>
      <c r="I32" s="44">
        <f t="shared" si="0"/>
        <v>1019.1636513699624</v>
      </c>
      <c r="J32" s="41"/>
    </row>
    <row r="33" spans="2:10" ht="16.5" x14ac:dyDescent="0.3">
      <c r="B33" s="41"/>
      <c r="C33" s="238">
        <f t="shared" si="2"/>
        <v>2050</v>
      </c>
      <c r="D33" s="44">
        <v>102387.57267626573</v>
      </c>
      <c r="E33" s="46">
        <v>3.7200962806201845E-2</v>
      </c>
      <c r="F33" s="44">
        <v>969.98144633844345</v>
      </c>
      <c r="G33" s="44">
        <v>0</v>
      </c>
      <c r="H33" s="44">
        <v>1019.7460305993166</v>
      </c>
      <c r="I33" s="44">
        <f t="shared" si="0"/>
        <v>1070.7333321292824</v>
      </c>
      <c r="J33" s="41"/>
    </row>
    <row r="34" spans="2:10" ht="16.5" x14ac:dyDescent="0.3">
      <c r="B34" s="41"/>
      <c r="C34" s="238">
        <f t="shared" si="2"/>
        <v>2051</v>
      </c>
      <c r="D34" s="44">
        <v>105459.19985655369</v>
      </c>
      <c r="E34" s="46">
        <v>3.7944982062325883E-2</v>
      </c>
      <c r="F34" s="44">
        <v>983.5192690010266</v>
      </c>
      <c r="G34" s="44">
        <v>0</v>
      </c>
      <c r="H34" s="44">
        <v>1071.3451797476419</v>
      </c>
      <c r="I34" s="44">
        <f t="shared" si="0"/>
        <v>1124.9124387350239</v>
      </c>
      <c r="J34" s="41"/>
    </row>
    <row r="35" spans="2:10" ht="16.5" x14ac:dyDescent="0.3">
      <c r="B35" s="41"/>
      <c r="C35" s="238">
        <f t="shared" si="2"/>
        <v>2052</v>
      </c>
      <c r="D35" s="44">
        <v>108622.9758522503</v>
      </c>
      <c r="E35" s="46">
        <v>3.8703881703572404E-2</v>
      </c>
      <c r="F35" s="44">
        <v>997.40575075506547</v>
      </c>
      <c r="G35" s="44">
        <v>0</v>
      </c>
      <c r="H35" s="44">
        <v>1125.5552458428726</v>
      </c>
      <c r="I35" s="44">
        <f t="shared" si="0"/>
        <v>1181.8330081350164</v>
      </c>
      <c r="J35" s="41"/>
    </row>
    <row r="36" spans="2:10" ht="16.5" x14ac:dyDescent="0.3">
      <c r="B36" s="41"/>
      <c r="C36" s="238">
        <f t="shared" si="2"/>
        <v>2053</v>
      </c>
      <c r="D36" s="44">
        <v>111881.6651278178</v>
      </c>
      <c r="E36" s="46">
        <v>3.947795933764385E-2</v>
      </c>
      <c r="F36" s="44">
        <v>1011.6509269171581</v>
      </c>
      <c r="G36" s="44">
        <v>0</v>
      </c>
      <c r="H36" s="44">
        <v>1182.5083412825218</v>
      </c>
      <c r="I36" s="44">
        <f t="shared" si="0"/>
        <v>1241.6337583466479</v>
      </c>
      <c r="J36" s="41"/>
    </row>
    <row r="37" spans="2:10" ht="16.5" x14ac:dyDescent="0.3">
      <c r="B37" s="41"/>
      <c r="C37" s="41"/>
      <c r="D37" s="41"/>
      <c r="E37" s="41"/>
      <c r="F37" s="41"/>
      <c r="G37" s="41"/>
      <c r="H37" s="41"/>
      <c r="I37" s="41"/>
      <c r="J37" s="41"/>
    </row>
    <row r="38" spans="2:10" x14ac:dyDescent="0.25">
      <c r="H38" s="45"/>
    </row>
    <row r="39" spans="2:10" x14ac:dyDescent="0.25">
      <c r="H39" s="45"/>
    </row>
    <row r="40" spans="2:10" x14ac:dyDescent="0.25">
      <c r="H40" s="45"/>
    </row>
    <row r="41" spans="2:10" x14ac:dyDescent="0.25">
      <c r="H41" s="45"/>
    </row>
    <row r="42" spans="2:10" x14ac:dyDescent="0.25">
      <c r="H42" s="45"/>
    </row>
    <row r="43" spans="2:10" x14ac:dyDescent="0.25">
      <c r="H43" s="45"/>
    </row>
    <row r="44" spans="2:10" x14ac:dyDescent="0.25">
      <c r="H44" s="45"/>
    </row>
    <row r="45" spans="2:10" x14ac:dyDescent="0.25">
      <c r="H45" s="45"/>
    </row>
    <row r="46" spans="2:10" x14ac:dyDescent="0.25">
      <c r="H46" s="45"/>
    </row>
    <row r="47" spans="2:10" x14ac:dyDescent="0.25">
      <c r="H47" s="45"/>
    </row>
  </sheetData>
  <mergeCells count="3">
    <mergeCell ref="H5:I5"/>
    <mergeCell ref="C5:C6"/>
    <mergeCell ref="C3:E3"/>
  </mergeCells>
  <pageMargins left="0.7" right="0.7" top="0.75" bottom="0.75" header="0.3" footer="0.3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701F-FE96-4513-B511-D2F3FA34E6E1}">
  <dimension ref="B1:O243"/>
  <sheetViews>
    <sheetView topLeftCell="A208" workbookViewId="0">
      <selection activeCell="D228" sqref="D228:I237"/>
    </sheetView>
  </sheetViews>
  <sheetFormatPr defaultRowHeight="15" x14ac:dyDescent="0.25"/>
  <cols>
    <col min="1" max="1" width="5.140625" customWidth="1"/>
    <col min="2" max="2" width="6.140625" customWidth="1"/>
    <col min="3" max="3" width="13.7109375" customWidth="1"/>
    <col min="4" max="4" width="13.42578125" customWidth="1"/>
    <col min="5" max="6" width="13.85546875" customWidth="1"/>
    <col min="7" max="7" width="13.28515625" customWidth="1"/>
    <col min="13" max="13" width="11.140625" customWidth="1"/>
    <col min="14" max="15" width="11" customWidth="1"/>
  </cols>
  <sheetData>
    <row r="1" spans="2:15" ht="15.75" thickBot="1" x14ac:dyDescent="0.3"/>
    <row r="2" spans="2:15" ht="58.5" customHeight="1" thickBot="1" x14ac:dyDescent="0.3">
      <c r="B2" s="811" t="s">
        <v>518</v>
      </c>
      <c r="C2" s="813" t="s">
        <v>519</v>
      </c>
      <c r="D2" s="813"/>
      <c r="E2" s="814"/>
      <c r="G2" s="259" t="s">
        <v>518</v>
      </c>
      <c r="H2" s="249" t="s">
        <v>522</v>
      </c>
      <c r="I2" s="249" t="s">
        <v>523</v>
      </c>
      <c r="J2" s="260" t="s">
        <v>524</v>
      </c>
      <c r="L2" s="242" t="s">
        <v>518</v>
      </c>
      <c r="M2" s="243" t="s">
        <v>525</v>
      </c>
      <c r="N2" s="243" t="s">
        <v>217</v>
      </c>
      <c r="O2" s="244" t="s">
        <v>218</v>
      </c>
    </row>
    <row r="3" spans="2:15" ht="29.25" thickBot="1" x14ac:dyDescent="0.3">
      <c r="B3" s="812"/>
      <c r="C3" s="250" t="s">
        <v>520</v>
      </c>
      <c r="D3" s="250" t="s">
        <v>521</v>
      </c>
      <c r="E3" s="251" t="s">
        <v>46</v>
      </c>
      <c r="G3" s="256">
        <f>B4</f>
        <v>2024</v>
      </c>
      <c r="H3" s="258">
        <f t="array" ref="H3:H32">TRANSPOSE('6.Venituri'!P90:AS90)</f>
        <v>80122.007441236638</v>
      </c>
      <c r="I3" s="258">
        <f t="array" ref="I3:I32">TRANSPOSE('6.Venituri'!P92:AS92)</f>
        <v>65275.999999999993</v>
      </c>
      <c r="J3" s="261">
        <f>SUM(H3:I3)</f>
        <v>145398.00744123664</v>
      </c>
      <c r="L3" s="256">
        <f>G3</f>
        <v>2024</v>
      </c>
      <c r="M3" s="258">
        <f t="array" ref="M3:M32">TRANSPOSE('2.BilantNOPRO'!J82:AM82)</f>
        <v>34531.777777777781</v>
      </c>
      <c r="N3" s="263">
        <f t="array" ref="N3:N32">TRANSPOSE('2.BilantNOPRO'!J83:AM83)</f>
        <v>0</v>
      </c>
      <c r="O3" s="261">
        <f>M3-N3</f>
        <v>34531.777777777781</v>
      </c>
    </row>
    <row r="4" spans="2:15" ht="15.75" thickBot="1" x14ac:dyDescent="0.3">
      <c r="B4" s="252">
        <v>2024</v>
      </c>
      <c r="C4" s="253">
        <f t="array" ref="C4:C33">TRANSPOSE('6.Venituri'!P83:AS83)</f>
        <v>60672.051809986646</v>
      </c>
      <c r="D4" s="254">
        <f t="array" ref="D4:D33">TRANSPOSE('6.Venituri'!P87:AS87)</f>
        <v>19449.955631249995</v>
      </c>
      <c r="E4" s="255">
        <f>SUM(C4:D4)</f>
        <v>80122.007441236638</v>
      </c>
      <c r="G4" s="252">
        <f>G3+1</f>
        <v>2025</v>
      </c>
      <c r="H4" s="254">
        <v>77993.326399823345</v>
      </c>
      <c r="I4" s="254">
        <v>65275.999999999993</v>
      </c>
      <c r="J4" s="261">
        <f t="shared" ref="J4:J32" si="0">SUM(H4:I4)</f>
        <v>143269.32639982333</v>
      </c>
      <c r="L4" s="264">
        <f>L3+1</f>
        <v>2025</v>
      </c>
      <c r="M4" s="266">
        <v>34531.777777777781</v>
      </c>
      <c r="N4" s="265">
        <v>0</v>
      </c>
      <c r="O4" s="261">
        <f t="shared" ref="O4:O32" si="1">M4-N4</f>
        <v>34531.777777777781</v>
      </c>
    </row>
    <row r="5" spans="2:15" ht="15.75" thickBot="1" x14ac:dyDescent="0.3">
      <c r="B5" s="256">
        <f>B4+1</f>
        <v>2025</v>
      </c>
      <c r="C5" s="257">
        <v>58883.744992120221</v>
      </c>
      <c r="D5" s="258">
        <v>19109.581407703125</v>
      </c>
      <c r="E5" s="255">
        <f t="shared" ref="E5:E33" si="2">SUM(C5:D5)</f>
        <v>77993.326399823345</v>
      </c>
      <c r="G5" s="252">
        <f t="shared" ref="G5:G31" si="3">G4+1</f>
        <v>2026</v>
      </c>
      <c r="H5" s="258">
        <v>75925.011546654045</v>
      </c>
      <c r="I5" s="258">
        <v>65275.999999999993</v>
      </c>
      <c r="J5" s="261">
        <f t="shared" si="0"/>
        <v>141201.01154665404</v>
      </c>
      <c r="L5" s="264">
        <f t="shared" ref="L5:L32" si="4">L4+1</f>
        <v>2026</v>
      </c>
      <c r="M5" s="258">
        <v>34531.777777777781</v>
      </c>
      <c r="N5" s="263">
        <v>0</v>
      </c>
      <c r="O5" s="261">
        <f t="shared" si="1"/>
        <v>34531.777777777781</v>
      </c>
    </row>
    <row r="6" spans="2:15" ht="15.75" thickBot="1" x14ac:dyDescent="0.3">
      <c r="B6" s="256">
        <f t="shared" ref="B6:B33" si="5">B5+1</f>
        <v>2026</v>
      </c>
      <c r="C6" s="253">
        <v>57149.847813585722</v>
      </c>
      <c r="D6" s="254">
        <v>18775.163733068319</v>
      </c>
      <c r="E6" s="255">
        <f t="shared" si="2"/>
        <v>75925.011546654045</v>
      </c>
      <c r="G6" s="252">
        <f t="shared" si="3"/>
        <v>2027</v>
      </c>
      <c r="H6" s="254">
        <v>73915.253590533219</v>
      </c>
      <c r="I6" s="254">
        <v>65275.999999999993</v>
      </c>
      <c r="J6" s="261">
        <f t="shared" si="0"/>
        <v>139191.25359053322</v>
      </c>
      <c r="L6" s="264">
        <f t="shared" si="4"/>
        <v>2027</v>
      </c>
      <c r="M6" s="266">
        <v>34531.777777777781</v>
      </c>
      <c r="N6" s="265">
        <v>0</v>
      </c>
      <c r="O6" s="261">
        <f t="shared" si="1"/>
        <v>34531.777777777781</v>
      </c>
    </row>
    <row r="7" spans="2:15" ht="15.75" thickBot="1" x14ac:dyDescent="0.3">
      <c r="B7" s="256">
        <f t="shared" si="5"/>
        <v>2027</v>
      </c>
      <c r="C7" s="257">
        <v>55468.65522279359</v>
      </c>
      <c r="D7" s="258">
        <v>18446.598367739625</v>
      </c>
      <c r="E7" s="255">
        <f t="shared" si="2"/>
        <v>73915.253590533219</v>
      </c>
      <c r="G7" s="252">
        <f t="shared" si="3"/>
        <v>2028</v>
      </c>
      <c r="H7" s="258">
        <v>72557.254341002394</v>
      </c>
      <c r="I7" s="258">
        <v>65275.999999999993</v>
      </c>
      <c r="J7" s="261">
        <f t="shared" si="0"/>
        <v>137833.25434100238</v>
      </c>
      <c r="L7" s="264">
        <f t="shared" si="4"/>
        <v>2028</v>
      </c>
      <c r="M7" s="258">
        <v>34531.777777777781</v>
      </c>
      <c r="N7" s="263">
        <v>0</v>
      </c>
      <c r="O7" s="261">
        <f t="shared" si="1"/>
        <v>34531.777777777781</v>
      </c>
    </row>
    <row r="8" spans="2:15" ht="15.75" thickBot="1" x14ac:dyDescent="0.3">
      <c r="B8" s="256">
        <f t="shared" si="5"/>
        <v>2028</v>
      </c>
      <c r="C8" s="253">
        <v>54433.471444698211</v>
      </c>
      <c r="D8" s="254">
        <v>18123.782896304183</v>
      </c>
      <c r="E8" s="255">
        <f t="shared" si="2"/>
        <v>72557.254341002394</v>
      </c>
      <c r="G8" s="252">
        <f t="shared" si="3"/>
        <v>2029</v>
      </c>
      <c r="H8" s="254">
        <v>71224.223479480395</v>
      </c>
      <c r="I8" s="254">
        <v>65275.999999999993</v>
      </c>
      <c r="J8" s="261">
        <f t="shared" si="0"/>
        <v>136500.2234794804</v>
      </c>
      <c r="L8" s="264">
        <f t="shared" si="4"/>
        <v>2029</v>
      </c>
      <c r="M8" s="266">
        <v>34531.777777777781</v>
      </c>
      <c r="N8" s="265">
        <v>0</v>
      </c>
      <c r="O8" s="261">
        <f t="shared" si="1"/>
        <v>34531.777777777781</v>
      </c>
    </row>
    <row r="9" spans="2:15" ht="15.75" thickBot="1" x14ac:dyDescent="0.3">
      <c r="B9" s="256">
        <f t="shared" si="5"/>
        <v>2029</v>
      </c>
      <c r="C9" s="257">
        <v>53417.606783861534</v>
      </c>
      <c r="D9" s="258">
        <v>17806.616695618857</v>
      </c>
      <c r="E9" s="255">
        <f t="shared" si="2"/>
        <v>71224.223479480395</v>
      </c>
      <c r="G9" s="252">
        <f t="shared" si="3"/>
        <v>2030</v>
      </c>
      <c r="H9" s="258">
        <v>69915.701600703251</v>
      </c>
      <c r="I9" s="258">
        <v>65275.999999999993</v>
      </c>
      <c r="J9" s="261">
        <f t="shared" si="0"/>
        <v>135191.70160070324</v>
      </c>
      <c r="L9" s="264">
        <f t="shared" si="4"/>
        <v>2030</v>
      </c>
      <c r="M9" s="258">
        <v>34531.777777777781</v>
      </c>
      <c r="N9" s="263">
        <v>0</v>
      </c>
      <c r="O9" s="261">
        <f t="shared" si="1"/>
        <v>34531.777777777781</v>
      </c>
    </row>
    <row r="10" spans="2:15" ht="15.75" thickBot="1" x14ac:dyDescent="0.3">
      <c r="B10" s="256">
        <f t="shared" si="5"/>
        <v>2030</v>
      </c>
      <c r="C10" s="253">
        <v>52420.700697257715</v>
      </c>
      <c r="D10" s="254">
        <v>17495.000903445532</v>
      </c>
      <c r="E10" s="255">
        <f t="shared" si="2"/>
        <v>69915.701600703251</v>
      </c>
      <c r="G10" s="252">
        <f t="shared" si="3"/>
        <v>2031</v>
      </c>
      <c r="H10" s="254">
        <v>68631.237758130374</v>
      </c>
      <c r="I10" s="254">
        <v>65275.999999999993</v>
      </c>
      <c r="J10" s="261">
        <f t="shared" si="0"/>
        <v>133907.23775813036</v>
      </c>
      <c r="L10" s="264">
        <f t="shared" si="4"/>
        <v>2031</v>
      </c>
      <c r="M10" s="266">
        <v>34531.777777777781</v>
      </c>
      <c r="N10" s="265">
        <v>0</v>
      </c>
      <c r="O10" s="261">
        <f t="shared" si="1"/>
        <v>34531.777777777781</v>
      </c>
    </row>
    <row r="11" spans="2:15" ht="15.75" thickBot="1" x14ac:dyDescent="0.3">
      <c r="B11" s="256">
        <f t="shared" si="5"/>
        <v>2031</v>
      </c>
      <c r="C11" s="257">
        <v>51442.399370495143</v>
      </c>
      <c r="D11" s="258">
        <v>17188.838387635235</v>
      </c>
      <c r="E11" s="255">
        <f t="shared" si="2"/>
        <v>68631.237758130374</v>
      </c>
      <c r="G11" s="252">
        <f t="shared" si="3"/>
        <v>2032</v>
      </c>
      <c r="H11" s="258">
        <v>67370.389308094891</v>
      </c>
      <c r="I11" s="258">
        <v>65275.999999999993</v>
      </c>
      <c r="J11" s="261">
        <f t="shared" si="0"/>
        <v>132646.38930809489</v>
      </c>
      <c r="L11" s="264">
        <f t="shared" si="4"/>
        <v>2032</v>
      </c>
      <c r="M11" s="258">
        <v>34531.777777777781</v>
      </c>
      <c r="N11" s="263">
        <v>0</v>
      </c>
      <c r="O11" s="261">
        <f t="shared" si="1"/>
        <v>34531.777777777781</v>
      </c>
    </row>
    <row r="12" spans="2:15" ht="15.75" thickBot="1" x14ac:dyDescent="0.3">
      <c r="B12" s="256">
        <f t="shared" si="5"/>
        <v>2032</v>
      </c>
      <c r="C12" s="253">
        <v>50482.355592243279</v>
      </c>
      <c r="D12" s="254">
        <v>16888.033715851612</v>
      </c>
      <c r="E12" s="255">
        <f t="shared" si="2"/>
        <v>67370.389308094891</v>
      </c>
      <c r="G12" s="252">
        <f t="shared" si="3"/>
        <v>2033</v>
      </c>
      <c r="H12" s="254">
        <v>66428.262346854637</v>
      </c>
      <c r="I12" s="254">
        <v>65275.999999999993</v>
      </c>
      <c r="J12" s="261">
        <f t="shared" si="0"/>
        <v>131704.26234685464</v>
      </c>
      <c r="L12" s="264">
        <f t="shared" si="4"/>
        <v>2033</v>
      </c>
      <c r="M12" s="266">
        <v>34531.777777777781</v>
      </c>
      <c r="N12" s="265">
        <v>0</v>
      </c>
      <c r="O12" s="261">
        <f t="shared" si="1"/>
        <v>34531.777777777781</v>
      </c>
    </row>
    <row r="13" spans="2:15" ht="15.75" thickBot="1" x14ac:dyDescent="0.3">
      <c r="B13" s="256">
        <f t="shared" si="5"/>
        <v>2033</v>
      </c>
      <c r="C13" s="257">
        <v>49540.228631003025</v>
      </c>
      <c r="D13" s="258">
        <v>16888.033715851612</v>
      </c>
      <c r="E13" s="255">
        <f t="shared" si="2"/>
        <v>66428.262346854637</v>
      </c>
      <c r="G13" s="252">
        <f t="shared" si="3"/>
        <v>2034</v>
      </c>
      <c r="H13" s="258">
        <v>65503.717830028545</v>
      </c>
      <c r="I13" s="258">
        <v>65275.999999999993</v>
      </c>
      <c r="J13" s="261">
        <f t="shared" si="0"/>
        <v>130779.71783002853</v>
      </c>
      <c r="L13" s="264">
        <f t="shared" si="4"/>
        <v>2034</v>
      </c>
      <c r="M13" s="258">
        <v>34531.777777777781</v>
      </c>
      <c r="N13" s="263">
        <v>0</v>
      </c>
      <c r="O13" s="261">
        <f t="shared" si="1"/>
        <v>34531.777777777781</v>
      </c>
    </row>
    <row r="14" spans="2:15" ht="15.75" thickBot="1" x14ac:dyDescent="0.3">
      <c r="B14" s="256">
        <f t="shared" si="5"/>
        <v>2034</v>
      </c>
      <c r="C14" s="253">
        <v>48615.684114176933</v>
      </c>
      <c r="D14" s="254">
        <v>16888.033715851612</v>
      </c>
      <c r="E14" s="255">
        <f t="shared" si="2"/>
        <v>65503.717830028545</v>
      </c>
      <c r="G14" s="252">
        <f t="shared" si="3"/>
        <v>2035</v>
      </c>
      <c r="H14" s="254">
        <v>64596.427625247714</v>
      </c>
      <c r="I14" s="254">
        <v>65275.999999999993</v>
      </c>
      <c r="J14" s="261">
        <f t="shared" si="0"/>
        <v>129872.42762524771</v>
      </c>
      <c r="L14" s="264">
        <f t="shared" si="4"/>
        <v>2035</v>
      </c>
      <c r="M14" s="266">
        <v>34531.777777777781</v>
      </c>
      <c r="N14" s="265">
        <v>0</v>
      </c>
      <c r="O14" s="261">
        <f t="shared" si="1"/>
        <v>34531.777777777781</v>
      </c>
    </row>
    <row r="15" spans="2:15" ht="15.75" thickBot="1" x14ac:dyDescent="0.3">
      <c r="B15" s="256">
        <f t="shared" si="5"/>
        <v>2035</v>
      </c>
      <c r="C15" s="257">
        <v>47708.393909396102</v>
      </c>
      <c r="D15" s="258">
        <v>16888.033715851612</v>
      </c>
      <c r="E15" s="255">
        <f t="shared" si="2"/>
        <v>64596.427625247714</v>
      </c>
      <c r="G15" s="252">
        <f t="shared" si="3"/>
        <v>2036</v>
      </c>
      <c r="H15" s="258">
        <v>63706.069723913621</v>
      </c>
      <c r="I15" s="258">
        <v>65275.999999999993</v>
      </c>
      <c r="J15" s="261">
        <f t="shared" si="0"/>
        <v>128982.06972391362</v>
      </c>
      <c r="L15" s="264">
        <f t="shared" si="4"/>
        <v>2036</v>
      </c>
      <c r="M15" s="258">
        <v>34531.777777777781</v>
      </c>
      <c r="N15" s="263">
        <v>0</v>
      </c>
      <c r="O15" s="261">
        <f t="shared" si="1"/>
        <v>34531.777777777781</v>
      </c>
    </row>
    <row r="16" spans="2:15" ht="15.75" thickBot="1" x14ac:dyDescent="0.3">
      <c r="B16" s="256">
        <f t="shared" si="5"/>
        <v>2036</v>
      </c>
      <c r="C16" s="253">
        <v>46818.036008062008</v>
      </c>
      <c r="D16" s="254">
        <v>16888.033715851612</v>
      </c>
      <c r="E16" s="255">
        <f t="shared" si="2"/>
        <v>63706.069723913621</v>
      </c>
      <c r="G16" s="252">
        <f t="shared" si="3"/>
        <v>2037</v>
      </c>
      <c r="H16" s="254">
        <v>62832.328126913155</v>
      </c>
      <c r="I16" s="254">
        <v>65275.999999999993</v>
      </c>
      <c r="J16" s="261">
        <f t="shared" si="0"/>
        <v>128108.32812691314</v>
      </c>
      <c r="L16" s="264">
        <f t="shared" si="4"/>
        <v>2037</v>
      </c>
      <c r="M16" s="266">
        <v>34531.777777777781</v>
      </c>
      <c r="N16" s="265">
        <v>0</v>
      </c>
      <c r="O16" s="261">
        <f t="shared" si="1"/>
        <v>34531.777777777781</v>
      </c>
    </row>
    <row r="17" spans="2:15" ht="15.75" thickBot="1" x14ac:dyDescent="0.3">
      <c r="B17" s="256">
        <f t="shared" si="5"/>
        <v>2037</v>
      </c>
      <c r="C17" s="257">
        <v>45944.294411061543</v>
      </c>
      <c r="D17" s="258">
        <v>16888.033715851612</v>
      </c>
      <c r="E17" s="255">
        <f t="shared" si="2"/>
        <v>62832.328126913155</v>
      </c>
      <c r="G17" s="252">
        <f t="shared" si="3"/>
        <v>2038</v>
      </c>
      <c r="H17" s="258">
        <v>61974.892732466717</v>
      </c>
      <c r="I17" s="258">
        <v>65275.999999999993</v>
      </c>
      <c r="J17" s="261">
        <f t="shared" si="0"/>
        <v>127250.89273246672</v>
      </c>
      <c r="L17" s="264">
        <f t="shared" si="4"/>
        <v>2038</v>
      </c>
      <c r="M17" s="258">
        <v>34531.777777777781</v>
      </c>
      <c r="N17" s="263">
        <v>0</v>
      </c>
      <c r="O17" s="261">
        <f t="shared" si="1"/>
        <v>34531.777777777781</v>
      </c>
    </row>
    <row r="18" spans="2:15" ht="15.75" thickBot="1" x14ac:dyDescent="0.3">
      <c r="B18" s="256">
        <f t="shared" si="5"/>
        <v>2038</v>
      </c>
      <c r="C18" s="253">
        <v>45086.859016615104</v>
      </c>
      <c r="D18" s="254">
        <v>16888.033715851612</v>
      </c>
      <c r="E18" s="255">
        <f t="shared" si="2"/>
        <v>61974.892732466717</v>
      </c>
      <c r="G18" s="252">
        <f t="shared" si="3"/>
        <v>2039</v>
      </c>
      <c r="H18" s="254">
        <v>61133.459226069142</v>
      </c>
      <c r="I18" s="254">
        <v>65275.999999999993</v>
      </c>
      <c r="J18" s="261">
        <f t="shared" si="0"/>
        <v>126409.45922606913</v>
      </c>
      <c r="L18" s="264">
        <f t="shared" si="4"/>
        <v>2039</v>
      </c>
      <c r="M18" s="266">
        <v>34531.777777777781</v>
      </c>
      <c r="N18" s="265">
        <v>0</v>
      </c>
      <c r="O18" s="261">
        <f t="shared" si="1"/>
        <v>34531.777777777781</v>
      </c>
    </row>
    <row r="19" spans="2:15" ht="15.75" thickBot="1" x14ac:dyDescent="0.3">
      <c r="B19" s="256">
        <f t="shared" si="5"/>
        <v>2039</v>
      </c>
      <c r="C19" s="257">
        <v>44245.42551021753</v>
      </c>
      <c r="D19" s="258">
        <v>16888.033715851612</v>
      </c>
      <c r="E19" s="255">
        <f t="shared" si="2"/>
        <v>61133.459226069142</v>
      </c>
      <c r="G19" s="252">
        <f t="shared" si="3"/>
        <v>2040</v>
      </c>
      <c r="H19" s="258">
        <v>60307.728972484707</v>
      </c>
      <c r="I19" s="258">
        <v>65275.999999999993</v>
      </c>
      <c r="J19" s="261">
        <f t="shared" si="0"/>
        <v>125583.72897248471</v>
      </c>
      <c r="L19" s="264">
        <f t="shared" si="4"/>
        <v>2040</v>
      </c>
      <c r="M19" s="258">
        <v>34531.777777777781</v>
      </c>
      <c r="N19" s="263">
        <v>0</v>
      </c>
      <c r="O19" s="261">
        <f t="shared" si="1"/>
        <v>34531.777777777781</v>
      </c>
    </row>
    <row r="20" spans="2:15" ht="15.75" thickBot="1" x14ac:dyDescent="0.3">
      <c r="B20" s="256">
        <f t="shared" si="5"/>
        <v>2040</v>
      </c>
      <c r="C20" s="253">
        <v>43419.695256633095</v>
      </c>
      <c r="D20" s="254">
        <v>16888.033715851612</v>
      </c>
      <c r="E20" s="255">
        <f t="shared" si="2"/>
        <v>60307.728972484707</v>
      </c>
      <c r="G20" s="252">
        <f t="shared" si="3"/>
        <v>2041</v>
      </c>
      <c r="H20" s="254">
        <v>59497.408909757803</v>
      </c>
      <c r="I20" s="254">
        <v>65275.999999999993</v>
      </c>
      <c r="J20" s="261">
        <f t="shared" si="0"/>
        <v>124773.4089097578</v>
      </c>
      <c r="L20" s="264">
        <f t="shared" si="4"/>
        <v>2041</v>
      </c>
      <c r="M20" s="266">
        <v>34531.777777777781</v>
      </c>
      <c r="N20" s="265">
        <v>0</v>
      </c>
      <c r="O20" s="261">
        <f t="shared" si="1"/>
        <v>34531.777777777781</v>
      </c>
    </row>
    <row r="21" spans="2:15" ht="15.75" thickBot="1" x14ac:dyDescent="0.3">
      <c r="B21" s="256">
        <f t="shared" si="5"/>
        <v>2041</v>
      </c>
      <c r="C21" s="257">
        <v>42609.375193906191</v>
      </c>
      <c r="D21" s="258">
        <v>16888.033715851612</v>
      </c>
      <c r="E21" s="255">
        <f t="shared" si="2"/>
        <v>59497.408909757803</v>
      </c>
      <c r="G21" s="252">
        <f t="shared" si="3"/>
        <v>2042</v>
      </c>
      <c r="H21" s="258">
        <v>58702.21144520153</v>
      </c>
      <c r="I21" s="258">
        <v>65275.999999999993</v>
      </c>
      <c r="J21" s="261">
        <f t="shared" si="0"/>
        <v>123978.21144520152</v>
      </c>
      <c r="L21" s="264">
        <f t="shared" si="4"/>
        <v>2042</v>
      </c>
      <c r="M21" s="258">
        <v>34531.777777777781</v>
      </c>
      <c r="N21" s="263">
        <v>0</v>
      </c>
      <c r="O21" s="261">
        <f t="shared" si="1"/>
        <v>34531.777777777781</v>
      </c>
    </row>
    <row r="22" spans="2:15" ht="15.75" thickBot="1" x14ac:dyDescent="0.3">
      <c r="B22" s="256">
        <f t="shared" si="5"/>
        <v>2042</v>
      </c>
      <c r="C22" s="253">
        <v>41814.177729349918</v>
      </c>
      <c r="D22" s="254">
        <v>16888.033715851612</v>
      </c>
      <c r="E22" s="255">
        <f t="shared" si="2"/>
        <v>58702.21144520153</v>
      </c>
      <c r="G22" s="252">
        <f t="shared" si="3"/>
        <v>2043</v>
      </c>
      <c r="H22" s="258">
        <v>57921.854353327537</v>
      </c>
      <c r="I22" s="258">
        <v>65275.999999999993</v>
      </c>
      <c r="J22" s="261">
        <f t="shared" si="0"/>
        <v>123197.85435332754</v>
      </c>
      <c r="L22" s="264">
        <f t="shared" si="4"/>
        <v>2043</v>
      </c>
      <c r="M22" s="258">
        <v>34531.777777777781</v>
      </c>
      <c r="N22" s="263">
        <v>0</v>
      </c>
      <c r="O22" s="261">
        <f t="shared" si="1"/>
        <v>34531.777777777781</v>
      </c>
    </row>
    <row r="23" spans="2:15" ht="15.75" thickBot="1" x14ac:dyDescent="0.3">
      <c r="B23" s="256">
        <f t="shared" si="5"/>
        <v>2043</v>
      </c>
      <c r="C23" s="253">
        <v>41033.820637475925</v>
      </c>
      <c r="D23" s="254">
        <v>16888.033715851612</v>
      </c>
      <c r="E23" s="255">
        <f t="shared" si="2"/>
        <v>57921.854353327537</v>
      </c>
      <c r="G23" s="252">
        <f t="shared" si="3"/>
        <v>2044</v>
      </c>
      <c r="H23" s="258">
        <v>57511.516146952767</v>
      </c>
      <c r="I23" s="258">
        <v>65275.999999999993</v>
      </c>
      <c r="J23" s="261">
        <f t="shared" si="0"/>
        <v>122787.51614695275</v>
      </c>
      <c r="L23" s="264">
        <f t="shared" si="4"/>
        <v>2044</v>
      </c>
      <c r="M23" s="258">
        <v>34531.777777777781</v>
      </c>
      <c r="N23" s="263">
        <v>0</v>
      </c>
      <c r="O23" s="261">
        <f t="shared" si="1"/>
        <v>34531.777777777781</v>
      </c>
    </row>
    <row r="24" spans="2:15" ht="15.75" thickBot="1" x14ac:dyDescent="0.3">
      <c r="B24" s="256">
        <f t="shared" si="5"/>
        <v>2044</v>
      </c>
      <c r="C24" s="253">
        <v>40623.482431101154</v>
      </c>
      <c r="D24" s="254">
        <v>16888.033715851612</v>
      </c>
      <c r="E24" s="255">
        <f t="shared" si="2"/>
        <v>57511.516146952767</v>
      </c>
      <c r="G24" s="252">
        <f t="shared" si="3"/>
        <v>2045</v>
      </c>
      <c r="H24" s="258">
        <v>57105.281322641764</v>
      </c>
      <c r="I24" s="258">
        <v>65275.999999999993</v>
      </c>
      <c r="J24" s="261">
        <f t="shared" si="0"/>
        <v>122381.28132264176</v>
      </c>
      <c r="L24" s="264">
        <f t="shared" si="4"/>
        <v>2045</v>
      </c>
      <c r="M24" s="258">
        <v>34531.777777777781</v>
      </c>
      <c r="N24" s="263">
        <v>0</v>
      </c>
      <c r="O24" s="261">
        <f t="shared" si="1"/>
        <v>34531.777777777781</v>
      </c>
    </row>
    <row r="25" spans="2:15" ht="15.75" thickBot="1" x14ac:dyDescent="0.3">
      <c r="B25" s="256">
        <f t="shared" si="5"/>
        <v>2045</v>
      </c>
      <c r="C25" s="253">
        <v>40217.247606790152</v>
      </c>
      <c r="D25" s="254">
        <v>16888.033715851612</v>
      </c>
      <c r="E25" s="255">
        <f t="shared" si="2"/>
        <v>57105.281322641764</v>
      </c>
      <c r="G25" s="252">
        <f t="shared" si="3"/>
        <v>2046</v>
      </c>
      <c r="H25" s="258">
        <v>56703.108846573865</v>
      </c>
      <c r="I25" s="258">
        <v>65275.999999999993</v>
      </c>
      <c r="J25" s="261">
        <f t="shared" si="0"/>
        <v>121979.10884657386</v>
      </c>
      <c r="L25" s="264">
        <f t="shared" si="4"/>
        <v>2046</v>
      </c>
      <c r="M25" s="258">
        <v>34531.777777777781</v>
      </c>
      <c r="N25" s="263">
        <v>0</v>
      </c>
      <c r="O25" s="261">
        <f t="shared" si="1"/>
        <v>34531.777777777781</v>
      </c>
    </row>
    <row r="26" spans="2:15" ht="15.75" thickBot="1" x14ac:dyDescent="0.3">
      <c r="B26" s="256">
        <f t="shared" si="5"/>
        <v>2046</v>
      </c>
      <c r="C26" s="253">
        <v>39815.075130722253</v>
      </c>
      <c r="D26" s="254">
        <v>16888.033715851612</v>
      </c>
      <c r="E26" s="255">
        <f t="shared" si="2"/>
        <v>56703.108846573865</v>
      </c>
      <c r="G26" s="252">
        <f t="shared" si="3"/>
        <v>2047</v>
      </c>
      <c r="H26" s="258">
        <v>56304.958095266644</v>
      </c>
      <c r="I26" s="258">
        <v>65275.999999999993</v>
      </c>
      <c r="J26" s="261">
        <f t="shared" si="0"/>
        <v>121580.95809526663</v>
      </c>
      <c r="L26" s="264">
        <f t="shared" si="4"/>
        <v>2047</v>
      </c>
      <c r="M26" s="258">
        <v>34531.777777777781</v>
      </c>
      <c r="N26" s="263">
        <v>0</v>
      </c>
      <c r="O26" s="261">
        <f t="shared" si="1"/>
        <v>34531.777777777781</v>
      </c>
    </row>
    <row r="27" spans="2:15" ht="15.75" thickBot="1" x14ac:dyDescent="0.3">
      <c r="B27" s="256">
        <f t="shared" si="5"/>
        <v>2047</v>
      </c>
      <c r="C27" s="253">
        <v>39416.924379415032</v>
      </c>
      <c r="D27" s="254">
        <v>16888.033715851612</v>
      </c>
      <c r="E27" s="255">
        <f t="shared" si="2"/>
        <v>56304.958095266644</v>
      </c>
      <c r="G27" s="252">
        <f t="shared" si="3"/>
        <v>2048</v>
      </c>
      <c r="H27" s="258">
        <v>55910.788851472491</v>
      </c>
      <c r="I27" s="258">
        <v>65275.999999999993</v>
      </c>
      <c r="J27" s="261">
        <f t="shared" si="0"/>
        <v>121186.78885147249</v>
      </c>
      <c r="L27" s="264">
        <f t="shared" si="4"/>
        <v>2048</v>
      </c>
      <c r="M27" s="258">
        <v>34531.777777777781</v>
      </c>
      <c r="N27" s="263">
        <v>0</v>
      </c>
      <c r="O27" s="261">
        <f t="shared" si="1"/>
        <v>34531.777777777781</v>
      </c>
    </row>
    <row r="28" spans="2:15" ht="15.75" thickBot="1" x14ac:dyDescent="0.3">
      <c r="B28" s="256">
        <f t="shared" si="5"/>
        <v>2048</v>
      </c>
      <c r="C28" s="253">
        <v>39022.755135620879</v>
      </c>
      <c r="D28" s="254">
        <v>16888.033715851612</v>
      </c>
      <c r="E28" s="255">
        <f t="shared" si="2"/>
        <v>55910.788851472491</v>
      </c>
      <c r="G28" s="252">
        <f t="shared" si="3"/>
        <v>2049</v>
      </c>
      <c r="H28" s="258">
        <v>55520.561300116278</v>
      </c>
      <c r="I28" s="258">
        <v>65275.999999999993</v>
      </c>
      <c r="J28" s="261">
        <f t="shared" si="0"/>
        <v>120796.56130011627</v>
      </c>
      <c r="L28" s="264">
        <f t="shared" si="4"/>
        <v>2049</v>
      </c>
      <c r="M28" s="258">
        <v>34531.777777777781</v>
      </c>
      <c r="N28" s="263">
        <v>0</v>
      </c>
      <c r="O28" s="261">
        <f t="shared" si="1"/>
        <v>34531.777777777781</v>
      </c>
    </row>
    <row r="29" spans="2:15" ht="15.75" thickBot="1" x14ac:dyDescent="0.3">
      <c r="B29" s="256">
        <f t="shared" si="5"/>
        <v>2049</v>
      </c>
      <c r="C29" s="253">
        <v>38632.527584264666</v>
      </c>
      <c r="D29" s="254">
        <v>16888.033715851612</v>
      </c>
      <c r="E29" s="255">
        <f t="shared" si="2"/>
        <v>55520.561300116278</v>
      </c>
      <c r="G29" s="252">
        <f t="shared" si="3"/>
        <v>2050</v>
      </c>
      <c r="H29" s="258">
        <v>55134.236024273639</v>
      </c>
      <c r="I29" s="258">
        <v>65275.999999999993</v>
      </c>
      <c r="J29" s="261">
        <f t="shared" si="0"/>
        <v>120410.23602427363</v>
      </c>
      <c r="L29" s="264">
        <f t="shared" si="4"/>
        <v>2050</v>
      </c>
      <c r="M29" s="258">
        <v>34531.777777777781</v>
      </c>
      <c r="N29" s="263">
        <v>0</v>
      </c>
      <c r="O29" s="261">
        <f t="shared" si="1"/>
        <v>34531.777777777781</v>
      </c>
    </row>
    <row r="30" spans="2:15" ht="15.75" thickBot="1" x14ac:dyDescent="0.3">
      <c r="B30" s="256">
        <f t="shared" si="5"/>
        <v>2050</v>
      </c>
      <c r="C30" s="253">
        <v>38246.202308422027</v>
      </c>
      <c r="D30" s="254">
        <v>16888.033715851612</v>
      </c>
      <c r="E30" s="255">
        <f t="shared" si="2"/>
        <v>55134.236024273639</v>
      </c>
      <c r="G30" s="252">
        <f t="shared" si="3"/>
        <v>2051</v>
      </c>
      <c r="H30" s="258">
        <v>54751.774001189413</v>
      </c>
      <c r="I30" s="258">
        <v>65275.999999999993</v>
      </c>
      <c r="J30" s="261">
        <f t="shared" si="0"/>
        <v>120027.77400118941</v>
      </c>
      <c r="L30" s="264">
        <f t="shared" si="4"/>
        <v>2051</v>
      </c>
      <c r="M30" s="258">
        <v>34531.777777777781</v>
      </c>
      <c r="N30" s="263">
        <v>0</v>
      </c>
      <c r="O30" s="261">
        <f t="shared" si="1"/>
        <v>34531.777777777781</v>
      </c>
    </row>
    <row r="31" spans="2:15" ht="15.75" thickBot="1" x14ac:dyDescent="0.3">
      <c r="B31" s="256">
        <f t="shared" si="5"/>
        <v>2051</v>
      </c>
      <c r="C31" s="253">
        <v>37863.740285337801</v>
      </c>
      <c r="D31" s="254">
        <v>16888.033715851612</v>
      </c>
      <c r="E31" s="255">
        <f t="shared" si="2"/>
        <v>54751.774001189413</v>
      </c>
      <c r="G31" s="252">
        <f t="shared" si="3"/>
        <v>2052</v>
      </c>
      <c r="H31" s="258">
        <v>54373.136598336037</v>
      </c>
      <c r="I31" s="258">
        <v>65275.999999999993</v>
      </c>
      <c r="J31" s="261">
        <f t="shared" si="0"/>
        <v>119649.13659833603</v>
      </c>
      <c r="L31" s="264">
        <f t="shared" si="4"/>
        <v>2052</v>
      </c>
      <c r="M31" s="258">
        <v>34531.777777777781</v>
      </c>
      <c r="N31" s="263">
        <v>0</v>
      </c>
      <c r="O31" s="261">
        <f t="shared" si="1"/>
        <v>34531.777777777781</v>
      </c>
    </row>
    <row r="32" spans="2:15" ht="15.75" thickBot="1" x14ac:dyDescent="0.3">
      <c r="B32" s="256">
        <f t="shared" si="5"/>
        <v>2052</v>
      </c>
      <c r="C32" s="253">
        <v>37485.102882484425</v>
      </c>
      <c r="D32" s="254">
        <v>16888.033715851612</v>
      </c>
      <c r="E32" s="255">
        <f t="shared" si="2"/>
        <v>54373.136598336037</v>
      </c>
      <c r="G32" s="252">
        <f>G31+1</f>
        <v>2053</v>
      </c>
      <c r="H32" s="258">
        <v>53998.285569511201</v>
      </c>
      <c r="I32" s="258">
        <v>65275.999999999993</v>
      </c>
      <c r="J32" s="261">
        <f t="shared" si="0"/>
        <v>119274.28556951119</v>
      </c>
      <c r="L32" s="264">
        <f t="shared" si="4"/>
        <v>2053</v>
      </c>
      <c r="M32" s="258">
        <v>34531.777777777781</v>
      </c>
      <c r="N32" s="263">
        <v>0</v>
      </c>
      <c r="O32" s="261">
        <f t="shared" si="1"/>
        <v>34531.777777777781</v>
      </c>
    </row>
    <row r="33" spans="2:15" ht="15.75" thickBot="1" x14ac:dyDescent="0.3">
      <c r="B33" s="256">
        <f t="shared" si="5"/>
        <v>2053</v>
      </c>
      <c r="C33" s="253">
        <v>37110.251853659589</v>
      </c>
      <c r="D33" s="254">
        <v>16888.033715851612</v>
      </c>
      <c r="E33" s="255">
        <f t="shared" si="2"/>
        <v>53998.285569511201</v>
      </c>
    </row>
    <row r="35" spans="2:15" ht="15.75" thickBot="1" x14ac:dyDescent="0.3"/>
    <row r="36" spans="2:15" ht="43.5" customHeight="1" thickBot="1" x14ac:dyDescent="0.3">
      <c r="B36" s="799" t="s">
        <v>518</v>
      </c>
      <c r="C36" s="815" t="s">
        <v>519</v>
      </c>
      <c r="D36" s="815"/>
      <c r="E36" s="816"/>
      <c r="G36" s="242" t="s">
        <v>518</v>
      </c>
      <c r="H36" s="243" t="s">
        <v>522</v>
      </c>
      <c r="I36" s="243" t="s">
        <v>523</v>
      </c>
      <c r="J36" s="244" t="s">
        <v>524</v>
      </c>
      <c r="L36" s="242" t="s">
        <v>518</v>
      </c>
      <c r="M36" s="243" t="s">
        <v>525</v>
      </c>
      <c r="N36" s="243" t="s">
        <v>217</v>
      </c>
      <c r="O36" s="244" t="s">
        <v>218</v>
      </c>
    </row>
    <row r="37" spans="2:15" ht="29.25" thickBot="1" x14ac:dyDescent="0.3">
      <c r="B37" s="800"/>
      <c r="C37" s="268" t="s">
        <v>520</v>
      </c>
      <c r="D37" s="268" t="s">
        <v>521</v>
      </c>
      <c r="E37" s="269" t="s">
        <v>46</v>
      </c>
      <c r="G37" s="256">
        <f>B38</f>
        <v>2024</v>
      </c>
      <c r="H37" s="258">
        <f t="array" ref="H37:H66">TRANSPOSE('6.Venituri'!P23:AS23)</f>
        <v>80122.007441236638</v>
      </c>
      <c r="I37" s="258">
        <f t="array" ref="I37:I66">TRANSPOSE('6.Venituri'!P25:AS25)</f>
        <v>65275.999999999993</v>
      </c>
      <c r="J37" s="261">
        <f>SUM(H37:I37)</f>
        <v>145398.00744123664</v>
      </c>
      <c r="L37" s="256">
        <f>G37</f>
        <v>2024</v>
      </c>
      <c r="M37" s="258">
        <f t="array" ref="M37:M66">TRANSPOSE('3.BilantPRO'!J81:AM81)</f>
        <v>34531.777777777781</v>
      </c>
      <c r="N37" s="258">
        <f t="shared" ref="N37:N55" si="6">N3</f>
        <v>0</v>
      </c>
      <c r="O37" s="261">
        <f>M37-N37</f>
        <v>34531.777777777781</v>
      </c>
    </row>
    <row r="38" spans="2:15" ht="15.75" thickBot="1" x14ac:dyDescent="0.3">
      <c r="B38" s="256">
        <f>B4</f>
        <v>2024</v>
      </c>
      <c r="C38" s="258">
        <f t="array" ref="C38:C67">TRANSPOSE('6.Venituri'!P16:AS16)</f>
        <v>60672.051809986639</v>
      </c>
      <c r="D38" s="258">
        <f t="array" ref="D38:D67">TRANSPOSE('6.Venituri'!P20:AS20)</f>
        <v>19449.955631249995</v>
      </c>
      <c r="E38" s="261">
        <f>SUM(C38:D38)</f>
        <v>80122.007441236638</v>
      </c>
      <c r="G38" s="264">
        <f>G37+1</f>
        <v>2025</v>
      </c>
      <c r="H38" s="266">
        <v>77993.326399823345</v>
      </c>
      <c r="I38" s="266">
        <v>65275.999999999993</v>
      </c>
      <c r="J38" s="261">
        <f t="shared" ref="J38:J66" si="7">SUM(H38:I38)</f>
        <v>143269.32639982333</v>
      </c>
      <c r="L38" s="264">
        <f>L37+1</f>
        <v>2025</v>
      </c>
      <c r="M38" s="266">
        <v>34531.777777777781</v>
      </c>
      <c r="N38" s="258">
        <f t="shared" si="6"/>
        <v>0</v>
      </c>
      <c r="O38" s="261">
        <f t="shared" ref="O38:O66" si="8">M38-N38</f>
        <v>34531.777777777781</v>
      </c>
    </row>
    <row r="39" spans="2:15" ht="15.75" thickBot="1" x14ac:dyDescent="0.3">
      <c r="B39" s="256">
        <f t="shared" ref="B39:B67" si="9">B5</f>
        <v>2025</v>
      </c>
      <c r="C39" s="266">
        <v>58883.744992120221</v>
      </c>
      <c r="D39" s="266">
        <v>19109.581407703125</v>
      </c>
      <c r="E39" s="261">
        <f t="shared" ref="E39:E56" si="10">SUM(C39:D39)</f>
        <v>77993.326399823345</v>
      </c>
      <c r="G39" s="264">
        <f t="shared" ref="G39:G66" si="11">G38+1</f>
        <v>2026</v>
      </c>
      <c r="H39" s="258">
        <v>76194.483784034383</v>
      </c>
      <c r="I39" s="258">
        <v>61053.204547625857</v>
      </c>
      <c r="J39" s="261">
        <f t="shared" si="7"/>
        <v>137247.68833166023</v>
      </c>
      <c r="L39" s="264">
        <f t="shared" ref="L39:L66" si="12">L38+1</f>
        <v>2026</v>
      </c>
      <c r="M39" s="258">
        <v>34333.391777777782</v>
      </c>
      <c r="N39" s="263">
        <f t="shared" si="6"/>
        <v>0</v>
      </c>
      <c r="O39" s="261">
        <f t="shared" si="8"/>
        <v>34333.391777777782</v>
      </c>
    </row>
    <row r="40" spans="2:15" ht="15.75" thickBot="1" x14ac:dyDescent="0.3">
      <c r="B40" s="256">
        <f t="shared" si="9"/>
        <v>2026</v>
      </c>
      <c r="C40" s="258">
        <v>57419.320050966067</v>
      </c>
      <c r="D40" s="258">
        <v>18775.163733068319</v>
      </c>
      <c r="E40" s="261">
        <f t="shared" si="10"/>
        <v>76194.483784034383</v>
      </c>
      <c r="G40" s="264">
        <f t="shared" si="11"/>
        <v>2027</v>
      </c>
      <c r="H40" s="266">
        <v>74622.961574696805</v>
      </c>
      <c r="I40" s="266">
        <v>53758.850864622131</v>
      </c>
      <c r="J40" s="261">
        <f t="shared" si="7"/>
        <v>128381.81243931894</v>
      </c>
      <c r="L40" s="264">
        <f t="shared" si="12"/>
        <v>2027</v>
      </c>
      <c r="M40" s="266">
        <v>33990.009777777777</v>
      </c>
      <c r="N40" s="263">
        <f t="shared" si="6"/>
        <v>0</v>
      </c>
      <c r="O40" s="261">
        <f t="shared" si="8"/>
        <v>33990.009777777777</v>
      </c>
    </row>
    <row r="41" spans="2:15" ht="15.75" thickBot="1" x14ac:dyDescent="0.3">
      <c r="B41" s="256">
        <f t="shared" si="9"/>
        <v>2027</v>
      </c>
      <c r="C41" s="266">
        <v>56176.363206957183</v>
      </c>
      <c r="D41" s="266">
        <v>18446.598367739625</v>
      </c>
      <c r="E41" s="261">
        <f t="shared" si="10"/>
        <v>74622.961574696805</v>
      </c>
      <c r="G41" s="264">
        <f t="shared" si="11"/>
        <v>2028</v>
      </c>
      <c r="H41" s="258">
        <v>73097.539528165973</v>
      </c>
      <c r="I41" s="258">
        <v>46079.955288048135</v>
      </c>
      <c r="J41" s="261">
        <f t="shared" si="7"/>
        <v>119177.49481621411</v>
      </c>
      <c r="L41" s="264">
        <f t="shared" si="12"/>
        <v>2028</v>
      </c>
      <c r="M41" s="258">
        <v>33628.643777777783</v>
      </c>
      <c r="N41" s="263">
        <f t="shared" si="6"/>
        <v>0</v>
      </c>
      <c r="O41" s="261">
        <f t="shared" si="8"/>
        <v>33628.643777777783</v>
      </c>
    </row>
    <row r="42" spans="2:15" ht="15.75" thickBot="1" x14ac:dyDescent="0.3">
      <c r="B42" s="256">
        <f t="shared" si="9"/>
        <v>2028</v>
      </c>
      <c r="C42" s="258">
        <v>54973.75663186179</v>
      </c>
      <c r="D42" s="258">
        <v>18123.782896304183</v>
      </c>
      <c r="E42" s="261">
        <f t="shared" si="10"/>
        <v>73097.539528165973</v>
      </c>
      <c r="G42" s="264">
        <f t="shared" si="11"/>
        <v>2029</v>
      </c>
      <c r="H42" s="266">
        <v>72130.475496222643</v>
      </c>
      <c r="I42" s="266">
        <v>46079.955288048135</v>
      </c>
      <c r="J42" s="261">
        <f t="shared" si="7"/>
        <v>118210.43078427078</v>
      </c>
      <c r="L42" s="264">
        <f t="shared" si="12"/>
        <v>2029</v>
      </c>
      <c r="M42" s="266">
        <v>33628.643777777783</v>
      </c>
      <c r="N42" s="263">
        <f t="shared" si="6"/>
        <v>0</v>
      </c>
      <c r="O42" s="261">
        <f t="shared" si="8"/>
        <v>33628.643777777783</v>
      </c>
    </row>
    <row r="43" spans="2:15" ht="15.75" thickBot="1" x14ac:dyDescent="0.3">
      <c r="B43" s="256">
        <f t="shared" si="9"/>
        <v>2029</v>
      </c>
      <c r="C43" s="266">
        <v>54323.85880060379</v>
      </c>
      <c r="D43" s="266">
        <v>17806.616695618857</v>
      </c>
      <c r="E43" s="261">
        <f t="shared" si="10"/>
        <v>72130.475496222643</v>
      </c>
      <c r="G43" s="264">
        <f t="shared" si="11"/>
        <v>2030</v>
      </c>
      <c r="H43" s="258">
        <v>71179.663951751892</v>
      </c>
      <c r="I43" s="258">
        <v>46079.955288048135</v>
      </c>
      <c r="J43" s="261">
        <f t="shared" si="7"/>
        <v>117259.61923980003</v>
      </c>
      <c r="L43" s="264">
        <f t="shared" si="12"/>
        <v>2030</v>
      </c>
      <c r="M43" s="258">
        <v>33628.643777777783</v>
      </c>
      <c r="N43" s="263">
        <f t="shared" si="6"/>
        <v>0</v>
      </c>
      <c r="O43" s="261">
        <f t="shared" si="8"/>
        <v>33628.643777777783</v>
      </c>
    </row>
    <row r="44" spans="2:15" ht="15.75" thickBot="1" x14ac:dyDescent="0.3">
      <c r="B44" s="256">
        <f t="shared" si="9"/>
        <v>2030</v>
      </c>
      <c r="C44" s="258">
        <v>53684.663048306364</v>
      </c>
      <c r="D44" s="258">
        <v>17495.000903445532</v>
      </c>
      <c r="E44" s="261">
        <f t="shared" si="10"/>
        <v>71179.663951751892</v>
      </c>
      <c r="G44" s="264">
        <f t="shared" si="11"/>
        <v>2031</v>
      </c>
      <c r="H44" s="266">
        <v>70244.813447369059</v>
      </c>
      <c r="I44" s="266">
        <v>46079.955288048135</v>
      </c>
      <c r="J44" s="261">
        <f t="shared" si="7"/>
        <v>116324.76873541719</v>
      </c>
      <c r="L44" s="264">
        <f t="shared" si="12"/>
        <v>2031</v>
      </c>
      <c r="M44" s="266">
        <v>33628.643777777783</v>
      </c>
      <c r="N44" s="263">
        <f t="shared" si="6"/>
        <v>0</v>
      </c>
      <c r="O44" s="261">
        <f t="shared" si="8"/>
        <v>33628.643777777783</v>
      </c>
    </row>
    <row r="45" spans="2:15" ht="15.75" thickBot="1" x14ac:dyDescent="0.3">
      <c r="B45" s="256">
        <f t="shared" si="9"/>
        <v>2031</v>
      </c>
      <c r="C45" s="266">
        <v>53055.975059733821</v>
      </c>
      <c r="D45" s="266">
        <v>17188.838387635235</v>
      </c>
      <c r="E45" s="261">
        <f t="shared" si="10"/>
        <v>70244.813447369059</v>
      </c>
      <c r="G45" s="264">
        <f t="shared" si="11"/>
        <v>2032</v>
      </c>
      <c r="H45" s="258">
        <v>69325.637841377204</v>
      </c>
      <c r="I45" s="258">
        <v>46079.955288048135</v>
      </c>
      <c r="J45" s="261">
        <f t="shared" si="7"/>
        <v>115405.59312942534</v>
      </c>
      <c r="L45" s="264">
        <f t="shared" si="12"/>
        <v>2032</v>
      </c>
      <c r="M45" s="258">
        <v>33628.643777777783</v>
      </c>
      <c r="N45" s="263">
        <f t="shared" si="6"/>
        <v>0</v>
      </c>
      <c r="O45" s="261">
        <f t="shared" si="8"/>
        <v>33628.643777777783</v>
      </c>
    </row>
    <row r="46" spans="2:15" ht="15.75" thickBot="1" x14ac:dyDescent="0.3">
      <c r="B46" s="256">
        <f t="shared" si="9"/>
        <v>2032</v>
      </c>
      <c r="C46" s="258">
        <v>52437.604125525584</v>
      </c>
      <c r="D46" s="258">
        <v>16888.033715851612</v>
      </c>
      <c r="E46" s="261">
        <f t="shared" si="10"/>
        <v>69325.637841377204</v>
      </c>
      <c r="G46" s="264">
        <f t="shared" si="11"/>
        <v>2033</v>
      </c>
      <c r="H46" s="266">
        <v>68717.396790831059</v>
      </c>
      <c r="I46" s="266">
        <v>46079.955288048135</v>
      </c>
      <c r="J46" s="261">
        <f t="shared" si="7"/>
        <v>114797.35207887919</v>
      </c>
      <c r="L46" s="264">
        <f t="shared" si="12"/>
        <v>2033</v>
      </c>
      <c r="M46" s="266">
        <v>33628.643777777783</v>
      </c>
      <c r="N46" s="263">
        <f t="shared" si="6"/>
        <v>0</v>
      </c>
      <c r="O46" s="261">
        <f t="shared" si="8"/>
        <v>33628.643777777783</v>
      </c>
    </row>
    <row r="47" spans="2:15" ht="15.75" thickBot="1" x14ac:dyDescent="0.3">
      <c r="B47" s="256">
        <f t="shared" si="9"/>
        <v>2033</v>
      </c>
      <c r="C47" s="266">
        <v>51829.363074979454</v>
      </c>
      <c r="D47" s="266">
        <v>16888.033715851612</v>
      </c>
      <c r="E47" s="261">
        <f t="shared" si="10"/>
        <v>68717.396790831059</v>
      </c>
      <c r="G47" s="264">
        <f t="shared" si="11"/>
        <v>2034</v>
      </c>
      <c r="H47" s="258">
        <v>68119.101925940602</v>
      </c>
      <c r="I47" s="258">
        <v>46079.955288048135</v>
      </c>
      <c r="J47" s="261">
        <f t="shared" si="7"/>
        <v>114199.05721398874</v>
      </c>
      <c r="L47" s="264">
        <f t="shared" si="12"/>
        <v>2034</v>
      </c>
      <c r="M47" s="258">
        <v>33628.643777777783</v>
      </c>
      <c r="N47" s="263">
        <f t="shared" si="6"/>
        <v>0</v>
      </c>
      <c r="O47" s="261">
        <f t="shared" si="8"/>
        <v>33628.643777777783</v>
      </c>
    </row>
    <row r="48" spans="2:15" ht="15.75" thickBot="1" x14ac:dyDescent="0.3">
      <c r="B48" s="256">
        <f t="shared" si="9"/>
        <v>2034</v>
      </c>
      <c r="C48" s="258">
        <v>51231.068210088983</v>
      </c>
      <c r="D48" s="258">
        <v>16888.033715851612</v>
      </c>
      <c r="E48" s="261">
        <f t="shared" si="10"/>
        <v>68119.101925940602</v>
      </c>
      <c r="G48" s="264">
        <f t="shared" si="11"/>
        <v>2035</v>
      </c>
      <c r="H48" s="266">
        <v>67530.572956663265</v>
      </c>
      <c r="I48" s="266">
        <v>46079.955288048135</v>
      </c>
      <c r="J48" s="261">
        <f t="shared" si="7"/>
        <v>113610.5282447114</v>
      </c>
      <c r="L48" s="264">
        <f t="shared" si="12"/>
        <v>2035</v>
      </c>
      <c r="M48" s="266">
        <v>33628.643777777783</v>
      </c>
      <c r="N48" s="263">
        <f t="shared" si="6"/>
        <v>0</v>
      </c>
      <c r="O48" s="261">
        <f t="shared" si="8"/>
        <v>33628.643777777783</v>
      </c>
    </row>
    <row r="49" spans="2:15" ht="15.75" thickBot="1" x14ac:dyDescent="0.3">
      <c r="B49" s="256">
        <f t="shared" si="9"/>
        <v>2035</v>
      </c>
      <c r="C49" s="266">
        <v>50642.53924081166</v>
      </c>
      <c r="D49" s="266">
        <v>16888.033715851612</v>
      </c>
      <c r="E49" s="261">
        <f t="shared" si="10"/>
        <v>67530.572956663265</v>
      </c>
      <c r="G49" s="264">
        <f t="shared" si="11"/>
        <v>2036</v>
      </c>
      <c r="H49" s="258">
        <v>66951.632937396294</v>
      </c>
      <c r="I49" s="258">
        <v>46079.955288048135</v>
      </c>
      <c r="J49" s="261">
        <f t="shared" si="7"/>
        <v>113031.58822544443</v>
      </c>
      <c r="L49" s="264">
        <f t="shared" si="12"/>
        <v>2036</v>
      </c>
      <c r="M49" s="258">
        <v>33628.643777777783</v>
      </c>
      <c r="N49" s="263">
        <f t="shared" si="6"/>
        <v>0</v>
      </c>
      <c r="O49" s="261">
        <f t="shared" si="8"/>
        <v>33628.643777777783</v>
      </c>
    </row>
    <row r="50" spans="2:15" ht="15.75" thickBot="1" x14ac:dyDescent="0.3">
      <c r="B50" s="256">
        <f t="shared" si="9"/>
        <v>2036</v>
      </c>
      <c r="C50" s="258">
        <v>50063.599221544682</v>
      </c>
      <c r="D50" s="258">
        <v>16888.033715851612</v>
      </c>
      <c r="E50" s="261">
        <f t="shared" si="10"/>
        <v>66951.632937396294</v>
      </c>
      <c r="G50" s="264">
        <f t="shared" si="11"/>
        <v>2037</v>
      </c>
      <c r="H50" s="266">
        <v>66382.1082046378</v>
      </c>
      <c r="I50" s="266">
        <v>46079.955288048135</v>
      </c>
      <c r="J50" s="261">
        <f t="shared" si="7"/>
        <v>112462.06349268593</v>
      </c>
      <c r="L50" s="264">
        <f t="shared" si="12"/>
        <v>2037</v>
      </c>
      <c r="M50" s="266">
        <v>33628.643777777783</v>
      </c>
      <c r="N50" s="263">
        <f t="shared" si="6"/>
        <v>0</v>
      </c>
      <c r="O50" s="261">
        <f t="shared" si="8"/>
        <v>33628.643777777783</v>
      </c>
    </row>
    <row r="51" spans="2:15" ht="15.75" thickBot="1" x14ac:dyDescent="0.3">
      <c r="B51" s="256">
        <f t="shared" si="9"/>
        <v>2037</v>
      </c>
      <c r="C51" s="266">
        <v>49494.074488786187</v>
      </c>
      <c r="D51" s="266">
        <v>16888.033715851612</v>
      </c>
      <c r="E51" s="261">
        <f t="shared" si="10"/>
        <v>66382.1082046378</v>
      </c>
      <c r="G51" s="264">
        <f t="shared" si="11"/>
        <v>2038</v>
      </c>
      <c r="H51" s="258">
        <v>65821.828315811028</v>
      </c>
      <c r="I51" s="258">
        <v>46079.955288048135</v>
      </c>
      <c r="J51" s="261">
        <f t="shared" si="7"/>
        <v>111901.78360385916</v>
      </c>
      <c r="L51" s="264">
        <f t="shared" si="12"/>
        <v>2038</v>
      </c>
      <c r="M51" s="258">
        <v>33628.643777777783</v>
      </c>
      <c r="N51" s="263">
        <f t="shared" si="6"/>
        <v>0</v>
      </c>
      <c r="O51" s="261">
        <f t="shared" si="8"/>
        <v>33628.643777777783</v>
      </c>
    </row>
    <row r="52" spans="2:15" ht="15.75" thickBot="1" x14ac:dyDescent="0.3">
      <c r="B52" s="256">
        <f t="shared" si="9"/>
        <v>2038</v>
      </c>
      <c r="C52" s="258">
        <v>48933.794599959416</v>
      </c>
      <c r="D52" s="258">
        <v>16888.033715851612</v>
      </c>
      <c r="E52" s="261">
        <f t="shared" si="10"/>
        <v>65821.828315811028</v>
      </c>
      <c r="G52" s="264">
        <f t="shared" si="11"/>
        <v>2039</v>
      </c>
      <c r="H52" s="266">
        <v>65270.625989229942</v>
      </c>
      <c r="I52" s="266">
        <v>46079.955288048135</v>
      </c>
      <c r="J52" s="261">
        <f t="shared" si="7"/>
        <v>111350.58127727808</v>
      </c>
      <c r="L52" s="264">
        <f t="shared" si="12"/>
        <v>2039</v>
      </c>
      <c r="M52" s="266">
        <v>33628.643777777783</v>
      </c>
      <c r="N52" s="263">
        <f t="shared" si="6"/>
        <v>0</v>
      </c>
      <c r="O52" s="261">
        <f t="shared" si="8"/>
        <v>33628.643777777783</v>
      </c>
    </row>
    <row r="53" spans="2:15" ht="15.75" thickBot="1" x14ac:dyDescent="0.3">
      <c r="B53" s="256">
        <f t="shared" si="9"/>
        <v>2039</v>
      </c>
      <c r="C53" s="266">
        <v>48382.59227337833</v>
      </c>
      <c r="D53" s="266">
        <v>16888.033715851612</v>
      </c>
      <c r="E53" s="261">
        <f t="shared" si="10"/>
        <v>65270.625989229942</v>
      </c>
      <c r="G53" s="264">
        <f t="shared" si="11"/>
        <v>2040</v>
      </c>
      <c r="H53" s="258">
        <v>64728.337045184991</v>
      </c>
      <c r="I53" s="258">
        <v>46079.955288048135</v>
      </c>
      <c r="J53" s="261">
        <f t="shared" si="7"/>
        <v>110808.29233323313</v>
      </c>
      <c r="L53" s="264">
        <f t="shared" si="12"/>
        <v>2040</v>
      </c>
      <c r="M53" s="258">
        <v>33628.643777777783</v>
      </c>
      <c r="N53" s="263">
        <f t="shared" si="6"/>
        <v>0</v>
      </c>
      <c r="O53" s="261">
        <f t="shared" si="8"/>
        <v>33628.643777777783</v>
      </c>
    </row>
    <row r="54" spans="2:15" ht="15.75" thickBot="1" x14ac:dyDescent="0.3">
      <c r="B54" s="256">
        <f t="shared" si="9"/>
        <v>2040</v>
      </c>
      <c r="C54" s="258">
        <v>47840.303329333379</v>
      </c>
      <c r="D54" s="258">
        <v>16888.033715851612</v>
      </c>
      <c r="E54" s="261">
        <f t="shared" si="10"/>
        <v>64728.337045184991</v>
      </c>
      <c r="G54" s="264">
        <f t="shared" si="11"/>
        <v>2041</v>
      </c>
      <c r="H54" s="266">
        <v>64194.800348127996</v>
      </c>
      <c r="I54" s="266">
        <v>46079.955288048135</v>
      </c>
      <c r="J54" s="261">
        <f t="shared" si="7"/>
        <v>110274.75563617612</v>
      </c>
      <c r="L54" s="264">
        <f t="shared" si="12"/>
        <v>2041</v>
      </c>
      <c r="M54" s="266">
        <v>33628.643777777783</v>
      </c>
      <c r="N54" s="263">
        <f t="shared" si="6"/>
        <v>0</v>
      </c>
      <c r="O54" s="261">
        <f t="shared" si="8"/>
        <v>33628.643777777783</v>
      </c>
    </row>
    <row r="55" spans="2:15" ht="15.75" thickBot="1" x14ac:dyDescent="0.3">
      <c r="B55" s="256">
        <f t="shared" si="9"/>
        <v>2041</v>
      </c>
      <c r="C55" s="266">
        <v>47306.766632276383</v>
      </c>
      <c r="D55" s="266">
        <v>16888.033715851612</v>
      </c>
      <c r="E55" s="261">
        <f t="shared" si="10"/>
        <v>64194.800348127996</v>
      </c>
      <c r="G55" s="264">
        <f t="shared" si="11"/>
        <v>2042</v>
      </c>
      <c r="H55" s="258">
        <v>63669.857749935814</v>
      </c>
      <c r="I55" s="258">
        <v>46079.955288048135</v>
      </c>
      <c r="J55" s="261">
        <f t="shared" si="7"/>
        <v>109749.81303798396</v>
      </c>
      <c r="L55" s="264">
        <f t="shared" si="12"/>
        <v>2042</v>
      </c>
      <c r="M55" s="258">
        <v>33628.643777777783</v>
      </c>
      <c r="N55" s="263">
        <f t="shared" si="6"/>
        <v>0</v>
      </c>
      <c r="O55" s="261">
        <f t="shared" si="8"/>
        <v>33628.643777777783</v>
      </c>
    </row>
    <row r="56" spans="2:15" ht="15.75" thickBot="1" x14ac:dyDescent="0.3">
      <c r="B56" s="256">
        <f t="shared" si="9"/>
        <v>2042</v>
      </c>
      <c r="C56" s="258">
        <v>46781.824034084202</v>
      </c>
      <c r="D56" s="258">
        <v>16888.033715851612</v>
      </c>
      <c r="E56" s="261">
        <f t="shared" si="10"/>
        <v>63669.857749935814</v>
      </c>
      <c r="G56" s="264">
        <f t="shared" si="11"/>
        <v>2043</v>
      </c>
      <c r="H56" s="258">
        <v>63153.35403423247</v>
      </c>
      <c r="I56" s="258">
        <v>46079.955288048135</v>
      </c>
      <c r="J56" s="261">
        <f t="shared" si="7"/>
        <v>109233.30932228061</v>
      </c>
      <c r="L56" s="264">
        <f t="shared" si="12"/>
        <v>2043</v>
      </c>
      <c r="M56" s="258">
        <v>33628.643777777783</v>
      </c>
      <c r="N56" s="263">
        <f t="shared" ref="N56:N66" si="13">N22</f>
        <v>0</v>
      </c>
      <c r="O56" s="261">
        <f t="shared" si="8"/>
        <v>33628.643777777783</v>
      </c>
    </row>
    <row r="57" spans="2:15" ht="15.75" thickBot="1" x14ac:dyDescent="0.3">
      <c r="B57" s="256">
        <f t="shared" si="9"/>
        <v>2043</v>
      </c>
      <c r="C57" s="258">
        <v>46265.320318380858</v>
      </c>
      <c r="D57" s="258">
        <v>16888.033715851612</v>
      </c>
      <c r="E57" s="261">
        <f t="shared" ref="E57:E67" si="14">SUM(C57:D57)</f>
        <v>63153.35403423247</v>
      </c>
      <c r="G57" s="264">
        <f t="shared" si="11"/>
        <v>2044</v>
      </c>
      <c r="H57" s="258">
        <v>63049.045716758083</v>
      </c>
      <c r="I57" s="258">
        <v>46079.955288048135</v>
      </c>
      <c r="J57" s="261">
        <f t="shared" si="7"/>
        <v>109129.00100480622</v>
      </c>
      <c r="L57" s="264">
        <f t="shared" si="12"/>
        <v>2044</v>
      </c>
      <c r="M57" s="258">
        <v>33628.643777777783</v>
      </c>
      <c r="N57" s="263">
        <f t="shared" si="13"/>
        <v>0</v>
      </c>
      <c r="O57" s="261">
        <f t="shared" si="8"/>
        <v>33628.643777777783</v>
      </c>
    </row>
    <row r="58" spans="2:15" ht="15.75" thickBot="1" x14ac:dyDescent="0.3">
      <c r="B58" s="256">
        <f t="shared" si="9"/>
        <v>2044</v>
      </c>
      <c r="C58" s="258">
        <v>46161.01200090647</v>
      </c>
      <c r="D58" s="258">
        <v>16888.033715851612</v>
      </c>
      <c r="E58" s="261">
        <f t="shared" si="14"/>
        <v>63049.045716758083</v>
      </c>
      <c r="G58" s="264">
        <f t="shared" si="11"/>
        <v>2045</v>
      </c>
      <c r="H58" s="258">
        <v>62947.572206886965</v>
      </c>
      <c r="I58" s="258">
        <v>46079.955288048135</v>
      </c>
      <c r="J58" s="261">
        <f t="shared" si="7"/>
        <v>109027.5274949351</v>
      </c>
      <c r="L58" s="264">
        <f t="shared" si="12"/>
        <v>2045</v>
      </c>
      <c r="M58" s="258">
        <v>33628.643777777783</v>
      </c>
      <c r="N58" s="263">
        <f t="shared" si="13"/>
        <v>0</v>
      </c>
      <c r="O58" s="261">
        <f t="shared" si="8"/>
        <v>33628.643777777783</v>
      </c>
    </row>
    <row r="59" spans="2:15" ht="15.75" thickBot="1" x14ac:dyDescent="0.3">
      <c r="B59" s="256">
        <f t="shared" si="9"/>
        <v>2045</v>
      </c>
      <c r="C59" s="258">
        <v>46059.538491035353</v>
      </c>
      <c r="D59" s="258">
        <v>16888.033715851612</v>
      </c>
      <c r="E59" s="261">
        <f t="shared" si="14"/>
        <v>62947.572206886965</v>
      </c>
      <c r="G59" s="264">
        <f t="shared" si="11"/>
        <v>2046</v>
      </c>
      <c r="H59" s="258">
        <v>62848.91411516528</v>
      </c>
      <c r="I59" s="258">
        <v>46079.955288048135</v>
      </c>
      <c r="J59" s="261">
        <f t="shared" si="7"/>
        <v>108928.86940321341</v>
      </c>
      <c r="L59" s="264">
        <f t="shared" si="12"/>
        <v>2046</v>
      </c>
      <c r="M59" s="258">
        <v>33628.643777777783</v>
      </c>
      <c r="N59" s="263">
        <f t="shared" si="13"/>
        <v>0</v>
      </c>
      <c r="O59" s="261">
        <f t="shared" si="8"/>
        <v>33628.643777777783</v>
      </c>
    </row>
    <row r="60" spans="2:15" ht="15.75" thickBot="1" x14ac:dyDescent="0.3">
      <c r="B60" s="256">
        <f t="shared" si="9"/>
        <v>2046</v>
      </c>
      <c r="C60" s="258">
        <v>45960.880399313668</v>
      </c>
      <c r="D60" s="258">
        <v>16888.033715851612</v>
      </c>
      <c r="E60" s="261">
        <f t="shared" si="14"/>
        <v>62848.91411516528</v>
      </c>
      <c r="G60" s="264">
        <f t="shared" si="11"/>
        <v>2047</v>
      </c>
      <c r="H60" s="258">
        <v>62753.052290826738</v>
      </c>
      <c r="I60" s="258">
        <v>46079.955288048135</v>
      </c>
      <c r="J60" s="261">
        <f t="shared" si="7"/>
        <v>108833.00757887488</v>
      </c>
      <c r="L60" s="264">
        <f t="shared" si="12"/>
        <v>2047</v>
      </c>
      <c r="M60" s="258">
        <v>33628.643777777783</v>
      </c>
      <c r="N60" s="263">
        <f t="shared" si="13"/>
        <v>0</v>
      </c>
      <c r="O60" s="261">
        <f t="shared" si="8"/>
        <v>33628.643777777783</v>
      </c>
    </row>
    <row r="61" spans="2:15" ht="15.75" thickBot="1" x14ac:dyDescent="0.3">
      <c r="B61" s="256">
        <f t="shared" si="9"/>
        <v>2047</v>
      </c>
      <c r="C61" s="258">
        <v>45865.018574975125</v>
      </c>
      <c r="D61" s="258">
        <v>16888.033715851612</v>
      </c>
      <c r="E61" s="261">
        <f t="shared" si="14"/>
        <v>62753.052290826738</v>
      </c>
      <c r="G61" s="264">
        <f t="shared" si="11"/>
        <v>2048</v>
      </c>
      <c r="H61" s="258">
        <v>62659.967819629856</v>
      </c>
      <c r="I61" s="258">
        <v>46079.955288048135</v>
      </c>
      <c r="J61" s="261">
        <f t="shared" si="7"/>
        <v>108739.92310767798</v>
      </c>
      <c r="L61" s="264">
        <f t="shared" si="12"/>
        <v>2048</v>
      </c>
      <c r="M61" s="258">
        <v>33628.643777777783</v>
      </c>
      <c r="N61" s="263">
        <f t="shared" si="13"/>
        <v>0</v>
      </c>
      <c r="O61" s="261">
        <f t="shared" si="8"/>
        <v>33628.643777777783</v>
      </c>
    </row>
    <row r="62" spans="2:15" ht="15.75" thickBot="1" x14ac:dyDescent="0.3">
      <c r="B62" s="256">
        <f t="shared" si="9"/>
        <v>2048</v>
      </c>
      <c r="C62" s="258">
        <v>45771.934103778243</v>
      </c>
      <c r="D62" s="258">
        <v>16888.033715851612</v>
      </c>
      <c r="E62" s="261">
        <f t="shared" si="14"/>
        <v>62659.967819629856</v>
      </c>
      <c r="G62" s="264">
        <f t="shared" si="11"/>
        <v>2049</v>
      </c>
      <c r="H62" s="258">
        <v>62569.642021717707</v>
      </c>
      <c r="I62" s="258">
        <v>46079.955288048135</v>
      </c>
      <c r="J62" s="261">
        <f t="shared" si="7"/>
        <v>108649.59730976584</v>
      </c>
      <c r="L62" s="264">
        <f t="shared" si="12"/>
        <v>2049</v>
      </c>
      <c r="M62" s="258">
        <v>33628.643777777783</v>
      </c>
      <c r="N62" s="263">
        <f t="shared" si="13"/>
        <v>0</v>
      </c>
      <c r="O62" s="261">
        <f t="shared" si="8"/>
        <v>33628.643777777783</v>
      </c>
    </row>
    <row r="63" spans="2:15" ht="15.75" thickBot="1" x14ac:dyDescent="0.3">
      <c r="B63" s="256">
        <f t="shared" si="9"/>
        <v>2049</v>
      </c>
      <c r="C63" s="258">
        <v>45681.608305866095</v>
      </c>
      <c r="D63" s="258">
        <v>16888.033715851612</v>
      </c>
      <c r="E63" s="261">
        <f t="shared" si="14"/>
        <v>62569.642021717707</v>
      </c>
      <c r="G63" s="264">
        <f t="shared" si="11"/>
        <v>2050</v>
      </c>
      <c r="H63" s="258">
        <v>62482.056449500305</v>
      </c>
      <c r="I63" s="258">
        <v>46079.955288048135</v>
      </c>
      <c r="J63" s="261">
        <f t="shared" si="7"/>
        <v>108562.01173754844</v>
      </c>
      <c r="L63" s="264">
        <f t="shared" si="12"/>
        <v>2050</v>
      </c>
      <c r="M63" s="258">
        <v>33628.643777777783</v>
      </c>
      <c r="N63" s="263">
        <f t="shared" si="13"/>
        <v>0</v>
      </c>
      <c r="O63" s="261">
        <f t="shared" si="8"/>
        <v>33628.643777777783</v>
      </c>
    </row>
    <row r="64" spans="2:15" ht="15.75" thickBot="1" x14ac:dyDescent="0.3">
      <c r="B64" s="256">
        <f t="shared" si="9"/>
        <v>2050</v>
      </c>
      <c r="C64" s="258">
        <v>45594.022733648693</v>
      </c>
      <c r="D64" s="258">
        <v>16888.033715851612</v>
      </c>
      <c r="E64" s="261">
        <f t="shared" si="14"/>
        <v>62482.056449500305</v>
      </c>
      <c r="G64" s="264">
        <f t="shared" si="11"/>
        <v>2051</v>
      </c>
      <c r="H64" s="258">
        <v>62397.192885559285</v>
      </c>
      <c r="I64" s="258">
        <v>46079.955288048135</v>
      </c>
      <c r="J64" s="261">
        <f t="shared" si="7"/>
        <v>108477.14817360742</v>
      </c>
      <c r="L64" s="264">
        <f t="shared" si="12"/>
        <v>2051</v>
      </c>
      <c r="M64" s="258">
        <v>33628.643777777783</v>
      </c>
      <c r="N64" s="263">
        <f t="shared" si="13"/>
        <v>0</v>
      </c>
      <c r="O64" s="261">
        <f t="shared" si="8"/>
        <v>33628.643777777783</v>
      </c>
    </row>
    <row r="65" spans="2:15" ht="15.75" thickBot="1" x14ac:dyDescent="0.3">
      <c r="B65" s="256">
        <f t="shared" si="9"/>
        <v>2051</v>
      </c>
      <c r="C65" s="258">
        <v>45509.159169707673</v>
      </c>
      <c r="D65" s="258">
        <v>16888.033715851612</v>
      </c>
      <c r="E65" s="261">
        <f t="shared" si="14"/>
        <v>62397.192885559285</v>
      </c>
      <c r="G65" s="264">
        <f t="shared" si="11"/>
        <v>2052</v>
      </c>
      <c r="H65" s="258">
        <v>62315.03334057465</v>
      </c>
      <c r="I65" s="258">
        <v>46079.955288048135</v>
      </c>
      <c r="J65" s="261">
        <f t="shared" si="7"/>
        <v>108394.98862862278</v>
      </c>
      <c r="L65" s="264">
        <f t="shared" si="12"/>
        <v>2052</v>
      </c>
      <c r="M65" s="258">
        <v>33628.643777777783</v>
      </c>
      <c r="N65" s="263">
        <f t="shared" si="13"/>
        <v>0</v>
      </c>
      <c r="O65" s="261">
        <f t="shared" si="8"/>
        <v>33628.643777777783</v>
      </c>
    </row>
    <row r="66" spans="2:15" ht="15.75" thickBot="1" x14ac:dyDescent="0.3">
      <c r="B66" s="256">
        <f t="shared" si="9"/>
        <v>2052</v>
      </c>
      <c r="C66" s="258">
        <v>45426.999624723037</v>
      </c>
      <c r="D66" s="258">
        <v>16888.033715851612</v>
      </c>
      <c r="E66" s="261">
        <f t="shared" si="14"/>
        <v>62315.03334057465</v>
      </c>
      <c r="G66" s="264">
        <f t="shared" si="11"/>
        <v>2053</v>
      </c>
      <c r="H66" s="258">
        <v>62235.560051273431</v>
      </c>
      <c r="I66" s="258">
        <v>46079.955288048135</v>
      </c>
      <c r="J66" s="261">
        <f t="shared" si="7"/>
        <v>108315.51533932157</v>
      </c>
      <c r="L66" s="264">
        <f t="shared" si="12"/>
        <v>2053</v>
      </c>
      <c r="M66" s="258">
        <v>33628.643777777783</v>
      </c>
      <c r="N66" s="263">
        <f t="shared" si="13"/>
        <v>0</v>
      </c>
      <c r="O66" s="261">
        <f t="shared" si="8"/>
        <v>33628.643777777783</v>
      </c>
    </row>
    <row r="67" spans="2:15" ht="15.75" thickBot="1" x14ac:dyDescent="0.3">
      <c r="B67" s="256">
        <f t="shared" si="9"/>
        <v>2053</v>
      </c>
      <c r="C67" s="258">
        <v>45347.526335421819</v>
      </c>
      <c r="D67" s="258">
        <v>16888.033715851612</v>
      </c>
      <c r="E67" s="261">
        <f t="shared" si="14"/>
        <v>62235.560051273431</v>
      </c>
    </row>
    <row r="69" spans="2:15" x14ac:dyDescent="0.25">
      <c r="D69" t="s">
        <v>533</v>
      </c>
      <c r="E69" t="s">
        <v>534</v>
      </c>
      <c r="F69" s="275"/>
    </row>
    <row r="70" spans="2:15" ht="54.75" thickBot="1" x14ac:dyDescent="0.3">
      <c r="C70" s="278"/>
      <c r="D70" s="276" t="s">
        <v>532</v>
      </c>
      <c r="E70" s="276" t="s">
        <v>532</v>
      </c>
      <c r="F70" s="275"/>
    </row>
    <row r="71" spans="2:15" ht="15.75" thickBot="1" x14ac:dyDescent="0.3">
      <c r="C71" s="277">
        <f>B38</f>
        <v>2024</v>
      </c>
      <c r="D71" s="258">
        <f t="array" ref="D71:D100">TRANSPOSE('6.Venituri'!P48:AS48)</f>
        <v>868.20405711823003</v>
      </c>
      <c r="E71" s="258">
        <f t="array" ref="E71:E100">TRANSPOSE('6.Venituri'!P115:AS115)</f>
        <v>868.20405711823003</v>
      </c>
      <c r="F71" s="275"/>
    </row>
    <row r="72" spans="2:15" ht="15.75" thickBot="1" x14ac:dyDescent="0.3">
      <c r="C72" s="277">
        <f t="shared" ref="C72:C100" si="15">B39</f>
        <v>2025</v>
      </c>
      <c r="D72" s="266">
        <v>826.69535101452595</v>
      </c>
      <c r="E72" s="266">
        <v>826.69535101452595</v>
      </c>
      <c r="F72" s="275"/>
    </row>
    <row r="73" spans="2:15" ht="15.75" thickBot="1" x14ac:dyDescent="0.3">
      <c r="C73" s="277">
        <f t="shared" si="15"/>
        <v>2026</v>
      </c>
      <c r="D73" s="258">
        <v>825.90880084500316</v>
      </c>
      <c r="E73" s="258">
        <v>847.25607858022875</v>
      </c>
      <c r="F73" s="275"/>
    </row>
    <row r="74" spans="2:15" ht="15.75" thickBot="1" x14ac:dyDescent="0.3">
      <c r="C74" s="277">
        <f t="shared" si="15"/>
        <v>2027</v>
      </c>
      <c r="D74" s="266">
        <v>800.91764761533261</v>
      </c>
      <c r="E74" s="266">
        <v>859.0793166067217</v>
      </c>
      <c r="F74" s="275"/>
    </row>
    <row r="75" spans="2:15" ht="15.75" thickBot="1" x14ac:dyDescent="0.3">
      <c r="C75" s="277">
        <f t="shared" si="15"/>
        <v>2028</v>
      </c>
      <c r="D75" s="258">
        <v>772.2890307331827</v>
      </c>
      <c r="E75" s="258">
        <v>866.1228987454341</v>
      </c>
      <c r="F75" s="275"/>
    </row>
    <row r="76" spans="2:15" ht="15.75" thickBot="1" x14ac:dyDescent="0.3">
      <c r="C76" s="277">
        <f t="shared" si="15"/>
        <v>2029</v>
      </c>
      <c r="D76" s="266">
        <v>773.85288287028698</v>
      </c>
      <c r="E76" s="266">
        <v>872.26626201088663</v>
      </c>
      <c r="F76" s="275"/>
    </row>
    <row r="77" spans="2:15" ht="15.75" thickBot="1" x14ac:dyDescent="0.3">
      <c r="C77" s="277">
        <f t="shared" si="15"/>
        <v>2030</v>
      </c>
      <c r="D77" s="258">
        <v>775.45872457185931</v>
      </c>
      <c r="E77" s="258">
        <v>878.65807740194259</v>
      </c>
      <c r="F77" s="275"/>
    </row>
    <row r="78" spans="2:15" ht="15.75" thickBot="1" x14ac:dyDescent="0.3">
      <c r="C78" s="277">
        <f t="shared" si="15"/>
        <v>2031</v>
      </c>
      <c r="D78" s="266">
        <v>777.10450981937868</v>
      </c>
      <c r="E78" s="266">
        <v>885.2800833807438</v>
      </c>
      <c r="F78" s="275"/>
    </row>
    <row r="79" spans="2:15" ht="15.75" thickBot="1" x14ac:dyDescent="0.3">
      <c r="C79" s="277">
        <f t="shared" si="15"/>
        <v>2032</v>
      </c>
      <c r="D79" s="258">
        <v>787.2931709151909</v>
      </c>
      <c r="E79" s="258">
        <v>901.4574525132706</v>
      </c>
      <c r="F79" s="275"/>
    </row>
    <row r="80" spans="2:15" ht="15.75" thickBot="1" x14ac:dyDescent="0.3">
      <c r="C80" s="277">
        <f t="shared" si="15"/>
        <v>2033</v>
      </c>
      <c r="D80" s="266">
        <v>795.93131786197819</v>
      </c>
      <c r="E80" s="266">
        <v>915.80792736862952</v>
      </c>
      <c r="F80" s="275"/>
    </row>
    <row r="81" spans="3:6" ht="15.75" thickBot="1" x14ac:dyDescent="0.3">
      <c r="C81" s="277">
        <f t="shared" si="15"/>
        <v>2034</v>
      </c>
      <c r="D81" s="258">
        <v>804.81300434904836</v>
      </c>
      <c r="E81" s="258">
        <v>930.67094833577153</v>
      </c>
      <c r="F81" s="275"/>
    </row>
    <row r="82" spans="3:6" ht="15.75" thickBot="1" x14ac:dyDescent="0.3">
      <c r="C82" s="277">
        <f t="shared" si="15"/>
        <v>2035</v>
      </c>
      <c r="D82" s="266">
        <v>813.9471961203518</v>
      </c>
      <c r="E82" s="266">
        <v>946.08375007731968</v>
      </c>
      <c r="F82" s="275"/>
    </row>
    <row r="83" spans="3:6" ht="15.75" thickBot="1" x14ac:dyDescent="0.3">
      <c r="C83" s="277">
        <f t="shared" si="15"/>
        <v>2036</v>
      </c>
      <c r="D83" s="258">
        <v>823.34314827733181</v>
      </c>
      <c r="E83" s="258">
        <v>962.05740597223303</v>
      </c>
      <c r="F83" s="275"/>
    </row>
    <row r="84" spans="3:6" ht="15.75" thickBot="1" x14ac:dyDescent="0.3">
      <c r="C84" s="277">
        <f t="shared" si="15"/>
        <v>2037</v>
      </c>
      <c r="D84" s="266">
        <v>835.61723523082969</v>
      </c>
      <c r="E84" s="266">
        <v>981.55151076262052</v>
      </c>
      <c r="F84" s="275"/>
    </row>
    <row r="85" spans="3:6" ht="15.75" thickBot="1" x14ac:dyDescent="0.3">
      <c r="C85" s="277">
        <f t="shared" si="15"/>
        <v>2038</v>
      </c>
      <c r="D85" s="258">
        <v>848.24013871939792</v>
      </c>
      <c r="E85" s="258">
        <v>1001.7648218198191</v>
      </c>
      <c r="F85" s="275"/>
    </row>
    <row r="86" spans="3:6" ht="15.75" thickBot="1" x14ac:dyDescent="0.3">
      <c r="C86" s="277">
        <f t="shared" si="15"/>
        <v>2039</v>
      </c>
      <c r="D86" s="266">
        <v>861.22344026579049</v>
      </c>
      <c r="E86" s="266">
        <v>1022.7285754240471</v>
      </c>
      <c r="F86" s="275"/>
    </row>
    <row r="87" spans="3:6" ht="15.75" thickBot="1" x14ac:dyDescent="0.3">
      <c r="C87" s="277">
        <f t="shared" si="15"/>
        <v>2040</v>
      </c>
      <c r="D87" s="258">
        <v>874.57911165969745</v>
      </c>
      <c r="E87" s="258">
        <v>1044.4754529571617</v>
      </c>
      <c r="F87" s="275"/>
    </row>
    <row r="88" spans="3:6" ht="15.75" thickBot="1" x14ac:dyDescent="0.3">
      <c r="C88" s="277">
        <f t="shared" si="15"/>
        <v>2041</v>
      </c>
      <c r="D88" s="266">
        <v>888.319527649983</v>
      </c>
      <c r="E88" s="266">
        <v>1067.0396492132618</v>
      </c>
      <c r="F88" s="275"/>
    </row>
    <row r="89" spans="3:6" ht="15.75" thickBot="1" x14ac:dyDescent="0.3">
      <c r="C89" s="277">
        <f t="shared" si="15"/>
        <v>2042</v>
      </c>
      <c r="D89" s="258">
        <v>902.45747903630843</v>
      </c>
      <c r="E89" s="258">
        <v>1090.456943959131</v>
      </c>
      <c r="F89" s="275"/>
    </row>
    <row r="90" spans="3:6" ht="15.75" thickBot="1" x14ac:dyDescent="0.3">
      <c r="C90" s="277">
        <f t="shared" si="15"/>
        <v>2043</v>
      </c>
      <c r="D90" s="258">
        <v>917.00618617273915</v>
      </c>
      <c r="E90" s="258">
        <v>1114.7647769002626</v>
      </c>
      <c r="F90" s="275"/>
    </row>
    <row r="91" spans="3:6" ht="15.75" thickBot="1" x14ac:dyDescent="0.3">
      <c r="C91" s="277">
        <f t="shared" si="15"/>
        <v>2044</v>
      </c>
      <c r="D91" s="258">
        <v>895.54758848092649</v>
      </c>
      <c r="E91" s="258">
        <v>1211.6470850097878</v>
      </c>
      <c r="F91" s="275"/>
    </row>
    <row r="92" spans="3:6" ht="15.75" thickBot="1" x14ac:dyDescent="0.3">
      <c r="C92" s="277">
        <f t="shared" si="15"/>
        <v>2045</v>
      </c>
      <c r="D92" s="258">
        <v>907.18952999028659</v>
      </c>
      <c r="E92" s="258">
        <v>1309.8342092755313</v>
      </c>
      <c r="F92" s="275"/>
    </row>
    <row r="93" spans="3:6" ht="15.75" thickBot="1" x14ac:dyDescent="0.3">
      <c r="C93" s="277">
        <f t="shared" si="15"/>
        <v>2046</v>
      </c>
      <c r="D93" s="258">
        <v>919.12536096912697</v>
      </c>
      <c r="E93" s="258">
        <v>1409.3792314703517</v>
      </c>
      <c r="F93" s="275"/>
    </row>
    <row r="94" spans="3:6" ht="15.75" thickBot="1" x14ac:dyDescent="0.3">
      <c r="C94" s="277">
        <f t="shared" si="15"/>
        <v>2047</v>
      </c>
      <c r="D94" s="258">
        <v>931.36359478659574</v>
      </c>
      <c r="E94" s="258">
        <v>1510.2987562405574</v>
      </c>
      <c r="F94" s="275"/>
    </row>
    <row r="95" spans="3:6" ht="15.75" thickBot="1" x14ac:dyDescent="0.3">
      <c r="C95" s="277">
        <f t="shared" si="15"/>
        <v>2048</v>
      </c>
      <c r="D95" s="258">
        <v>943.91298225240075</v>
      </c>
      <c r="E95" s="258">
        <v>1612.6298640081181</v>
      </c>
      <c r="F95" s="275"/>
    </row>
    <row r="96" spans="3:6" ht="15.75" thickBot="1" x14ac:dyDescent="0.3">
      <c r="C96" s="277">
        <f t="shared" si="15"/>
        <v>2049</v>
      </c>
      <c r="D96" s="258">
        <v>956.78251788457248</v>
      </c>
      <c r="E96" s="258">
        <v>1716.4111215980497</v>
      </c>
      <c r="F96" s="275"/>
    </row>
    <row r="97" spans="3:7" ht="15.75" thickBot="1" x14ac:dyDescent="0.3">
      <c r="C97" s="277">
        <f t="shared" si="15"/>
        <v>2050</v>
      </c>
      <c r="D97" s="258">
        <v>969.98144633844345</v>
      </c>
      <c r="E97" s="258">
        <v>1821.6826527760393</v>
      </c>
      <c r="F97" s="275"/>
    </row>
    <row r="98" spans="3:7" ht="15.75" thickBot="1" x14ac:dyDescent="0.3">
      <c r="C98" s="277">
        <f t="shared" si="15"/>
        <v>2051</v>
      </c>
      <c r="D98" s="258">
        <v>983.5192690010266</v>
      </c>
      <c r="E98" s="258">
        <v>1928.4862122648092</v>
      </c>
      <c r="F98" s="275"/>
    </row>
    <row r="99" spans="3:7" ht="15.75" thickBot="1" x14ac:dyDescent="0.3">
      <c r="C99" s="277">
        <f t="shared" si="15"/>
        <v>2052</v>
      </c>
      <c r="D99" s="258">
        <v>997.40575075506547</v>
      </c>
      <c r="E99" s="258">
        <v>2036.8652634136306</v>
      </c>
      <c r="F99" s="275"/>
    </row>
    <row r="100" spans="3:7" ht="15.75" thickBot="1" x14ac:dyDescent="0.3">
      <c r="C100" s="277">
        <f t="shared" si="15"/>
        <v>2053</v>
      </c>
      <c r="D100" s="258">
        <v>1011.6509269171581</v>
      </c>
      <c r="E100" s="258">
        <v>2146.8650597042765</v>
      </c>
      <c r="F100" s="275"/>
    </row>
    <row r="101" spans="3:7" ht="15.75" thickBot="1" x14ac:dyDescent="0.3">
      <c r="F101" s="275"/>
    </row>
    <row r="102" spans="3:7" ht="86.25" thickBot="1" x14ac:dyDescent="0.3">
      <c r="C102" s="803" t="s">
        <v>535</v>
      </c>
      <c r="D102" s="815" t="s">
        <v>518</v>
      </c>
      <c r="E102" s="243" t="s">
        <v>536</v>
      </c>
      <c r="F102" s="243" t="s">
        <v>392</v>
      </c>
      <c r="G102" s="244" t="s">
        <v>537</v>
      </c>
    </row>
    <row r="103" spans="3:7" ht="15.75" thickBot="1" x14ac:dyDescent="0.3">
      <c r="C103" s="805"/>
      <c r="D103" s="817"/>
      <c r="E103" s="271" t="s">
        <v>59</v>
      </c>
      <c r="F103" s="271" t="s">
        <v>15</v>
      </c>
      <c r="G103" s="251" t="s">
        <v>59</v>
      </c>
    </row>
    <row r="104" spans="3:7" ht="15.75" thickBot="1" x14ac:dyDescent="0.3">
      <c r="C104" s="795" t="s">
        <v>538</v>
      </c>
      <c r="D104" s="279">
        <v>2022</v>
      </c>
      <c r="E104" s="248">
        <f t="array" ref="E104:E135">TRANSPOSE('6.Venituri'!N37:AS37)</f>
        <v>43143.672477962784</v>
      </c>
      <c r="F104" s="281">
        <f t="array" ref="F104:F135">TRANSPOSE('6.Venituri'!N38:AS38)</f>
        <v>2.6674355306273399E-2</v>
      </c>
      <c r="G104" s="283">
        <f t="array" ref="G104:G135">TRANSPOSE('6.Venituri'!N39:AS39)</f>
        <v>1150.8296488946683</v>
      </c>
    </row>
    <row r="105" spans="3:7" ht="15.75" thickBot="1" x14ac:dyDescent="0.3">
      <c r="C105" s="796"/>
      <c r="D105" s="280">
        <f>D104+1</f>
        <v>2023</v>
      </c>
      <c r="E105" s="246">
        <v>44006.545927522035</v>
      </c>
      <c r="F105" s="282">
        <v>2.3128637948629426E-2</v>
      </c>
      <c r="G105" s="284">
        <v>1017.8114681273898</v>
      </c>
    </row>
    <row r="106" spans="3:7" ht="15.75" customHeight="1" thickBot="1" x14ac:dyDescent="0.3">
      <c r="C106" s="808" t="s">
        <v>539</v>
      </c>
      <c r="D106" s="280">
        <f t="shared" ref="D106:D135" si="16">D105+1</f>
        <v>2024</v>
      </c>
      <c r="E106" s="248">
        <v>45502.768489057795</v>
      </c>
      <c r="F106" s="281">
        <v>2.3128637948629426E-2</v>
      </c>
      <c r="G106" s="283">
        <v>1052.4170580437212</v>
      </c>
    </row>
    <row r="107" spans="3:7" ht="15.75" thickBot="1" x14ac:dyDescent="0.3">
      <c r="C107" s="809"/>
      <c r="D107" s="280">
        <f t="shared" si="16"/>
        <v>2025</v>
      </c>
      <c r="E107" s="246">
        <v>47413.884765598217</v>
      </c>
      <c r="F107" s="282">
        <v>2.3128637948629426E-2</v>
      </c>
      <c r="G107" s="284">
        <v>1096.6185744815575</v>
      </c>
    </row>
    <row r="108" spans="3:7" ht="15.75" thickBot="1" x14ac:dyDescent="0.3">
      <c r="C108" s="809"/>
      <c r="D108" s="280">
        <f t="shared" si="16"/>
        <v>2026</v>
      </c>
      <c r="E108" s="248">
        <v>49594.923464815744</v>
      </c>
      <c r="F108" s="281">
        <v>2.3128637948629426E-2</v>
      </c>
      <c r="G108" s="283">
        <v>1147.0630289077094</v>
      </c>
    </row>
    <row r="109" spans="3:7" ht="15.75" thickBot="1" x14ac:dyDescent="0.3">
      <c r="C109" s="809"/>
      <c r="D109" s="280">
        <f t="shared" si="16"/>
        <v>2027</v>
      </c>
      <c r="E109" s="246">
        <v>51628.315326873184</v>
      </c>
      <c r="F109" s="282">
        <v>2.3591210707602013E-2</v>
      </c>
      <c r="G109" s="284">
        <v>1217.9744653547839</v>
      </c>
    </row>
    <row r="110" spans="3:7" ht="15.75" thickBot="1" x14ac:dyDescent="0.3">
      <c r="C110" s="810"/>
      <c r="D110" s="280">
        <f t="shared" si="16"/>
        <v>2028</v>
      </c>
      <c r="E110" s="248">
        <v>53435.30636331375</v>
      </c>
      <c r="F110" s="281">
        <v>2.4063034921754052E-2</v>
      </c>
      <c r="G110" s="283">
        <v>1285.8156430750453</v>
      </c>
    </row>
    <row r="111" spans="3:7" ht="15.75" thickBot="1" x14ac:dyDescent="0.3">
      <c r="C111" s="810"/>
      <c r="D111" s="280">
        <f t="shared" si="16"/>
        <v>2029</v>
      </c>
      <c r="E111" s="246">
        <v>55038.36555421316</v>
      </c>
      <c r="F111" s="282">
        <v>2.4544295620189133E-2</v>
      </c>
      <c r="G111" s="284">
        <v>1350.8779146146426</v>
      </c>
    </row>
    <row r="112" spans="3:7" ht="15.75" thickBot="1" x14ac:dyDescent="0.3">
      <c r="C112" s="810"/>
      <c r="D112" s="280">
        <f t="shared" si="16"/>
        <v>2030</v>
      </c>
      <c r="E112" s="248">
        <v>56689.516520839563</v>
      </c>
      <c r="F112" s="281">
        <v>2.5035181532592918E-2</v>
      </c>
      <c r="G112" s="283">
        <v>1419.2323370941438</v>
      </c>
    </row>
    <row r="113" spans="3:7" ht="15.75" thickBot="1" x14ac:dyDescent="0.3">
      <c r="C113" s="810"/>
      <c r="D113" s="280">
        <f t="shared" si="16"/>
        <v>2031</v>
      </c>
      <c r="E113" s="246">
        <v>58390.202016464747</v>
      </c>
      <c r="F113" s="282">
        <v>2.5535885163244777E-2</v>
      </c>
      <c r="G113" s="284">
        <v>1491.0454933511073</v>
      </c>
    </row>
    <row r="114" spans="3:7" ht="15.75" thickBot="1" x14ac:dyDescent="0.3">
      <c r="C114" s="810"/>
      <c r="D114" s="280">
        <f t="shared" si="16"/>
        <v>2032</v>
      </c>
      <c r="E114" s="248">
        <v>60141.908076958694</v>
      </c>
      <c r="F114" s="281">
        <v>2.6046602866509672E-2</v>
      </c>
      <c r="G114" s="283">
        <v>1566.4923953146736</v>
      </c>
    </row>
    <row r="115" spans="3:7" ht="15.75" thickBot="1" x14ac:dyDescent="0.3">
      <c r="C115" s="810"/>
      <c r="D115" s="280">
        <f t="shared" si="16"/>
        <v>2033</v>
      </c>
      <c r="E115" s="246">
        <v>61946.165319267457</v>
      </c>
      <c r="F115" s="282">
        <v>2.6567534923839866E-2</v>
      </c>
      <c r="G115" s="284">
        <v>1645.756910517596</v>
      </c>
    </row>
    <row r="116" spans="3:7" ht="15.75" thickBot="1" x14ac:dyDescent="0.3">
      <c r="C116" s="810"/>
      <c r="D116" s="280">
        <f t="shared" si="16"/>
        <v>2034</v>
      </c>
      <c r="E116" s="248">
        <v>63804.550278845491</v>
      </c>
      <c r="F116" s="281">
        <v>2.7098885622316663E-2</v>
      </c>
      <c r="G116" s="283">
        <v>1729.0322101897866</v>
      </c>
    </row>
    <row r="117" spans="3:7" ht="15.75" thickBot="1" x14ac:dyDescent="0.3">
      <c r="C117" s="810"/>
      <c r="D117" s="280">
        <f t="shared" si="16"/>
        <v>2035</v>
      </c>
      <c r="E117" s="246">
        <v>65718.686787210856</v>
      </c>
      <c r="F117" s="282">
        <v>2.7640863334762997E-2</v>
      </c>
      <c r="G117" s="284">
        <v>1816.5212400253899</v>
      </c>
    </row>
    <row r="118" spans="3:7" ht="15.75" thickBot="1" x14ac:dyDescent="0.3">
      <c r="C118" s="810"/>
      <c r="D118" s="280">
        <f t="shared" si="16"/>
        <v>2036</v>
      </c>
      <c r="E118" s="248">
        <v>67690.247390827179</v>
      </c>
      <c r="F118" s="281">
        <v>2.8193680601458257E-2</v>
      </c>
      <c r="G118" s="283">
        <v>1908.4372147706747</v>
      </c>
    </row>
    <row r="119" spans="3:7" ht="15.75" thickBot="1" x14ac:dyDescent="0.3">
      <c r="C119" s="810"/>
      <c r="D119" s="280">
        <f t="shared" si="16"/>
        <v>2037</v>
      </c>
      <c r="E119" s="246">
        <v>69720.954812551994</v>
      </c>
      <c r="F119" s="282">
        <v>2.8757554213487423E-2</v>
      </c>
      <c r="G119" s="284">
        <v>2005.0041378380708</v>
      </c>
    </row>
    <row r="120" spans="3:7" ht="15.75" thickBot="1" x14ac:dyDescent="0.3">
      <c r="C120" s="810"/>
      <c r="D120" s="280">
        <f t="shared" si="16"/>
        <v>2038</v>
      </c>
      <c r="E120" s="248">
        <v>71812.583456928551</v>
      </c>
      <c r="F120" s="281">
        <v>2.9332705297757174E-2</v>
      </c>
      <c r="G120" s="283">
        <v>2106.4573472126772</v>
      </c>
    </row>
    <row r="121" spans="3:7" ht="15.75" thickBot="1" x14ac:dyDescent="0.3">
      <c r="C121" s="810"/>
      <c r="D121" s="280">
        <f t="shared" si="16"/>
        <v>2039</v>
      </c>
      <c r="E121" s="246">
        <v>73966.96096063641</v>
      </c>
      <c r="F121" s="282">
        <v>2.9919359403712317E-2</v>
      </c>
      <c r="G121" s="284">
        <v>2213.0440889816387</v>
      </c>
    </row>
    <row r="122" spans="3:7" ht="15.75" thickBot="1" x14ac:dyDescent="0.3">
      <c r="C122" s="810"/>
      <c r="D122" s="280">
        <f t="shared" si="16"/>
        <v>2040</v>
      </c>
      <c r="E122" s="248">
        <v>76185.969789455514</v>
      </c>
      <c r="F122" s="281">
        <v>3.0517746591786563E-2</v>
      </c>
      <c r="G122" s="283">
        <v>2325.02411988411</v>
      </c>
    </row>
    <row r="123" spans="3:7" ht="15.75" thickBot="1" x14ac:dyDescent="0.3">
      <c r="C123" s="810"/>
      <c r="D123" s="280">
        <f t="shared" si="16"/>
        <v>2041</v>
      </c>
      <c r="E123" s="246">
        <v>78471.548883139185</v>
      </c>
      <c r="F123" s="282">
        <v>3.1128101523622293E-2</v>
      </c>
      <c r="G123" s="284">
        <v>2442.6703403502461</v>
      </c>
    </row>
    <row r="124" spans="3:7" ht="15.75" thickBot="1" x14ac:dyDescent="0.3">
      <c r="C124" s="810"/>
      <c r="D124" s="280">
        <f t="shared" si="16"/>
        <v>2042</v>
      </c>
      <c r="E124" s="248">
        <v>80825.695349633359</v>
      </c>
      <c r="F124" s="281">
        <v>3.1750663554094741E-2</v>
      </c>
      <c r="G124" s="283">
        <v>2566.2694595719686</v>
      </c>
    </row>
    <row r="125" spans="3:7" ht="15.75" thickBot="1" x14ac:dyDescent="0.3">
      <c r="C125" s="810"/>
      <c r="D125" s="280">
        <f t="shared" si="16"/>
        <v>2043</v>
      </c>
      <c r="E125" s="246">
        <v>83250.466210122366</v>
      </c>
      <c r="F125" s="282">
        <v>3.2385676825176637E-2</v>
      </c>
      <c r="G125" s="284">
        <v>2696.1226942263106</v>
      </c>
    </row>
    <row r="126" spans="3:7" ht="15.75" thickBot="1" x14ac:dyDescent="0.3">
      <c r="C126" s="810"/>
      <c r="D126" s="280">
        <f t="shared" si="16"/>
        <v>2044</v>
      </c>
      <c r="E126" s="246">
        <v>85747.98019642604</v>
      </c>
      <c r="F126" s="282">
        <v>3.3033390361680168E-2</v>
      </c>
      <c r="G126" s="284">
        <v>2832.5465025541621</v>
      </c>
    </row>
    <row r="127" spans="3:7" ht="15.75" thickBot="1" x14ac:dyDescent="0.3">
      <c r="C127" s="810"/>
      <c r="D127" s="280">
        <f t="shared" si="16"/>
        <v>2045</v>
      </c>
      <c r="E127" s="246">
        <v>88320.419602318827</v>
      </c>
      <c r="F127" s="282">
        <v>3.3694058168913771E-2</v>
      </c>
      <c r="G127" s="284">
        <v>2975.8733555834028</v>
      </c>
    </row>
    <row r="128" spans="3:7" ht="15.75" thickBot="1" x14ac:dyDescent="0.3">
      <c r="C128" s="810"/>
      <c r="D128" s="280">
        <f t="shared" si="16"/>
        <v>2046</v>
      </c>
      <c r="E128" s="246">
        <v>90970.032190388389</v>
      </c>
      <c r="F128" s="282">
        <v>3.4367939332292048E-2</v>
      </c>
      <c r="G128" s="284">
        <v>3126.4525473759227</v>
      </c>
    </row>
    <row r="129" spans="3:9" ht="15.75" thickBot="1" x14ac:dyDescent="0.3">
      <c r="C129" s="810"/>
      <c r="D129" s="280">
        <f t="shared" si="16"/>
        <v>2047</v>
      </c>
      <c r="E129" s="246">
        <v>93699.133156100041</v>
      </c>
      <c r="F129" s="282">
        <v>3.5055298118937893E-2</v>
      </c>
      <c r="G129" s="284">
        <v>3284.6510462731449</v>
      </c>
    </row>
    <row r="130" spans="3:9" ht="15.75" thickBot="1" x14ac:dyDescent="0.3">
      <c r="C130" s="810"/>
      <c r="D130" s="280">
        <f t="shared" si="16"/>
        <v>2048</v>
      </c>
      <c r="E130" s="246">
        <v>96510.107150783049</v>
      </c>
      <c r="F130" s="282">
        <v>3.5756404081316653E-2</v>
      </c>
      <c r="G130" s="284">
        <v>3450.8543892145667</v>
      </c>
    </row>
    <row r="131" spans="3:9" ht="15.75" thickBot="1" x14ac:dyDescent="0.3">
      <c r="C131" s="810"/>
      <c r="D131" s="280">
        <f t="shared" si="16"/>
        <v>2049</v>
      </c>
      <c r="E131" s="246">
        <v>99405.410365306539</v>
      </c>
      <c r="F131" s="282">
        <v>3.6471532162942986E-2</v>
      </c>
      <c r="G131" s="284">
        <v>3625.4676213088237</v>
      </c>
    </row>
    <row r="132" spans="3:9" ht="15.75" thickBot="1" x14ac:dyDescent="0.3">
      <c r="C132" s="810"/>
      <c r="D132" s="280">
        <f t="shared" si="16"/>
        <v>2050</v>
      </c>
      <c r="E132" s="246">
        <v>102387.57267626573</v>
      </c>
      <c r="F132" s="282">
        <v>3.7200962806201845E-2</v>
      </c>
      <c r="G132" s="284">
        <v>3808.9162829470497</v>
      </c>
    </row>
    <row r="133" spans="3:9" ht="15.75" thickBot="1" x14ac:dyDescent="0.3">
      <c r="C133" s="810"/>
      <c r="D133" s="280">
        <f t="shared" si="16"/>
        <v>2051</v>
      </c>
      <c r="E133" s="246">
        <v>105459.19985655369</v>
      </c>
      <c r="F133" s="282">
        <v>3.7944982062325883E-2</v>
      </c>
      <c r="G133" s="284">
        <v>4001.64744686417</v>
      </c>
    </row>
    <row r="134" spans="3:9" ht="15.75" thickBot="1" x14ac:dyDescent="0.3">
      <c r="C134" s="810"/>
      <c r="D134" s="280">
        <f>D133+1</f>
        <v>2052</v>
      </c>
      <c r="E134" s="246">
        <v>108622.9758522503</v>
      </c>
      <c r="F134" s="282">
        <v>3.8703881703572404E-2</v>
      </c>
      <c r="G134" s="284">
        <v>4204.1308076754976</v>
      </c>
    </row>
    <row r="135" spans="3:9" ht="15.75" thickBot="1" x14ac:dyDescent="0.3">
      <c r="C135" s="810"/>
      <c r="D135" s="280">
        <f t="shared" si="16"/>
        <v>2053</v>
      </c>
      <c r="E135" s="246">
        <v>111881.6651278178</v>
      </c>
      <c r="F135" s="282">
        <v>3.947795933764385E-2</v>
      </c>
      <c r="G135" s="284">
        <v>4416.8598265438768</v>
      </c>
    </row>
    <row r="137" spans="3:9" ht="15.75" thickBot="1" x14ac:dyDescent="0.3"/>
    <row r="138" spans="3:9" ht="28.5" customHeight="1" thickBot="1" x14ac:dyDescent="0.3">
      <c r="C138" s="274" t="s">
        <v>517</v>
      </c>
      <c r="D138" s="801" t="s">
        <v>540</v>
      </c>
      <c r="E138" s="801"/>
      <c r="F138" s="801" t="s">
        <v>541</v>
      </c>
      <c r="G138" s="801"/>
      <c r="H138" s="801" t="s">
        <v>542</v>
      </c>
      <c r="I138" s="802"/>
    </row>
    <row r="139" spans="3:9" ht="29.25" thickBot="1" x14ac:dyDescent="0.3">
      <c r="C139" s="285"/>
      <c r="D139" s="271" t="s">
        <v>543</v>
      </c>
      <c r="E139" s="271" t="s">
        <v>544</v>
      </c>
      <c r="F139" s="271" t="s">
        <v>543</v>
      </c>
      <c r="G139" s="271" t="s">
        <v>544</v>
      </c>
      <c r="H139" s="271" t="s">
        <v>543</v>
      </c>
      <c r="I139" s="271" t="s">
        <v>544</v>
      </c>
    </row>
    <row r="140" spans="3:9" ht="15.75" thickBot="1" x14ac:dyDescent="0.3">
      <c r="C140" s="245">
        <f>C71</f>
        <v>2024</v>
      </c>
      <c r="D140" s="258">
        <f t="array" ref="D140:D169">TRANSPOSE('6.Venituri'!P50:AS50)</f>
        <v>238.42911187173485</v>
      </c>
      <c r="E140" s="258">
        <f t="shared" ref="E140:E169" si="17">D140*(1+tvat)</f>
        <v>250.3505674653216</v>
      </c>
      <c r="F140" s="258">
        <f t="array" ref="F140:F169">TRANSPOSE('6.Venituri'!P51:AS51)</f>
        <v>629.77494524649524</v>
      </c>
      <c r="G140" s="258">
        <f t="shared" ref="G140:G169" si="18">F140*(1+tvat)</f>
        <v>661.26369250881999</v>
      </c>
      <c r="H140" s="258">
        <f>D140+F140</f>
        <v>868.20405711823014</v>
      </c>
      <c r="I140" s="258">
        <f>E140+G140</f>
        <v>911.61425997414153</v>
      </c>
    </row>
    <row r="141" spans="3:9" ht="15.75" thickBot="1" x14ac:dyDescent="0.3">
      <c r="C141" s="247">
        <f>C140+1</f>
        <v>2025</v>
      </c>
      <c r="D141" s="266">
        <v>250.63620133200277</v>
      </c>
      <c r="E141" s="258">
        <f t="shared" si="17"/>
        <v>263.16801139860291</v>
      </c>
      <c r="F141" s="266">
        <v>576.05914968252318</v>
      </c>
      <c r="G141" s="258">
        <f t="shared" si="18"/>
        <v>604.86210716664937</v>
      </c>
      <c r="H141" s="258">
        <f t="shared" ref="H141:H158" si="19">D141+F141</f>
        <v>826.69535101452595</v>
      </c>
      <c r="I141" s="258">
        <f t="shared" ref="I141:I158" si="20">E141+G141</f>
        <v>868.03011856525222</v>
      </c>
    </row>
    <row r="142" spans="3:9" ht="15.75" thickBot="1" x14ac:dyDescent="0.3">
      <c r="C142" s="247">
        <f t="shared" ref="C142:C169" si="21">C141+1</f>
        <v>2026</v>
      </c>
      <c r="D142" s="258">
        <v>264.47966365021432</v>
      </c>
      <c r="E142" s="258">
        <f t="shared" si="17"/>
        <v>277.70364683272504</v>
      </c>
      <c r="F142" s="258">
        <v>561.42913719478884</v>
      </c>
      <c r="G142" s="258">
        <f t="shared" si="18"/>
        <v>589.50059405452828</v>
      </c>
      <c r="H142" s="258">
        <f t="shared" si="19"/>
        <v>825.90880084500316</v>
      </c>
      <c r="I142" s="258">
        <f t="shared" si="20"/>
        <v>867.20424088725326</v>
      </c>
    </row>
    <row r="143" spans="3:9" ht="15.75" thickBot="1" x14ac:dyDescent="0.3">
      <c r="C143" s="247">
        <f t="shared" si="21"/>
        <v>2027</v>
      </c>
      <c r="D143" s="266">
        <v>283.30874800208886</v>
      </c>
      <c r="E143" s="258">
        <f t="shared" si="17"/>
        <v>297.47418540219331</v>
      </c>
      <c r="F143" s="266">
        <v>517.60889961324369</v>
      </c>
      <c r="G143" s="258">
        <f t="shared" si="18"/>
        <v>543.48934459390591</v>
      </c>
      <c r="H143" s="258">
        <f t="shared" si="19"/>
        <v>800.9176476153325</v>
      </c>
      <c r="I143" s="258">
        <f t="shared" si="20"/>
        <v>840.96352999609917</v>
      </c>
    </row>
    <row r="144" spans="3:9" ht="15.75" thickBot="1" x14ac:dyDescent="0.3">
      <c r="C144" s="247">
        <f t="shared" si="21"/>
        <v>2028</v>
      </c>
      <c r="D144" s="258">
        <v>301.72917555188417</v>
      </c>
      <c r="E144" s="258">
        <f t="shared" si="17"/>
        <v>316.81563432947837</v>
      </c>
      <c r="F144" s="258">
        <v>470.55985518129853</v>
      </c>
      <c r="G144" s="258">
        <f t="shared" si="18"/>
        <v>494.08784794036347</v>
      </c>
      <c r="H144" s="258">
        <f t="shared" si="19"/>
        <v>772.2890307331827</v>
      </c>
      <c r="I144" s="258">
        <f t="shared" si="20"/>
        <v>810.90348226984179</v>
      </c>
    </row>
    <row r="145" spans="3:9" ht="15.75" thickBot="1" x14ac:dyDescent="0.3">
      <c r="C145" s="247">
        <f t="shared" si="21"/>
        <v>2029</v>
      </c>
      <c r="D145" s="266">
        <v>319.79487700863501</v>
      </c>
      <c r="E145" s="258">
        <f t="shared" si="17"/>
        <v>335.78462085906676</v>
      </c>
      <c r="F145" s="266">
        <v>454.05800586165196</v>
      </c>
      <c r="G145" s="258">
        <f t="shared" si="18"/>
        <v>476.76090615473458</v>
      </c>
      <c r="H145" s="258">
        <f t="shared" si="19"/>
        <v>773.85288287028698</v>
      </c>
      <c r="I145" s="258">
        <f t="shared" si="20"/>
        <v>812.54552701380135</v>
      </c>
    </row>
    <row r="146" spans="3:9" ht="15.75" thickBot="1" x14ac:dyDescent="0.3">
      <c r="C146" s="247">
        <f t="shared" si="21"/>
        <v>2030</v>
      </c>
      <c r="D146" s="258">
        <v>338.94224240632741</v>
      </c>
      <c r="E146" s="258">
        <f t="shared" si="17"/>
        <v>355.88935452664379</v>
      </c>
      <c r="F146" s="258">
        <v>436.5164821655319</v>
      </c>
      <c r="G146" s="258">
        <f t="shared" si="18"/>
        <v>458.3423062738085</v>
      </c>
      <c r="H146" s="258">
        <f t="shared" si="19"/>
        <v>775.45872457185931</v>
      </c>
      <c r="I146" s="258">
        <f t="shared" si="20"/>
        <v>814.23166080045235</v>
      </c>
    </row>
    <row r="147" spans="3:9" ht="15.75" thickBot="1" x14ac:dyDescent="0.3">
      <c r="C147" s="247">
        <f t="shared" si="21"/>
        <v>2031</v>
      </c>
      <c r="D147" s="266">
        <v>359.23603517991171</v>
      </c>
      <c r="E147" s="258">
        <f t="shared" si="17"/>
        <v>377.1978369389073</v>
      </c>
      <c r="F147" s="266">
        <v>417.86847463946697</v>
      </c>
      <c r="G147" s="258">
        <f t="shared" si="18"/>
        <v>438.76189837144034</v>
      </c>
      <c r="H147" s="258">
        <f t="shared" si="19"/>
        <v>777.10450981937868</v>
      </c>
      <c r="I147" s="258">
        <f t="shared" si="20"/>
        <v>815.9597353103477</v>
      </c>
    </row>
    <row r="148" spans="3:9" ht="15.75" thickBot="1" x14ac:dyDescent="0.3">
      <c r="C148" s="247">
        <f t="shared" si="21"/>
        <v>2032</v>
      </c>
      <c r="D148" s="258">
        <v>380.74489640354636</v>
      </c>
      <c r="E148" s="258">
        <f t="shared" si="17"/>
        <v>399.78214122372367</v>
      </c>
      <c r="F148" s="258">
        <v>406.54827451164454</v>
      </c>
      <c r="G148" s="258">
        <f t="shared" si="18"/>
        <v>426.87568823722677</v>
      </c>
      <c r="H148" s="258">
        <f t="shared" si="19"/>
        <v>787.2931709151909</v>
      </c>
      <c r="I148" s="258">
        <f t="shared" si="20"/>
        <v>826.65782946095044</v>
      </c>
    </row>
    <row r="149" spans="3:9" ht="15.75" thickBot="1" x14ac:dyDescent="0.3">
      <c r="C149" s="247">
        <f t="shared" si="21"/>
        <v>2033</v>
      </c>
      <c r="D149" s="266">
        <v>403.54157695996548</v>
      </c>
      <c r="E149" s="258">
        <f t="shared" si="17"/>
        <v>423.71865580796378</v>
      </c>
      <c r="F149" s="266">
        <v>392.3897409020127</v>
      </c>
      <c r="G149" s="258">
        <f t="shared" si="18"/>
        <v>412.00922794711335</v>
      </c>
      <c r="H149" s="258">
        <f t="shared" si="19"/>
        <v>795.93131786197819</v>
      </c>
      <c r="I149" s="258">
        <f t="shared" si="20"/>
        <v>835.72788375507707</v>
      </c>
    </row>
    <row r="150" spans="3:9" ht="15.75" thickBot="1" x14ac:dyDescent="0.3">
      <c r="C150" s="247">
        <f t="shared" si="21"/>
        <v>2034</v>
      </c>
      <c r="D150" s="258">
        <v>427.70318361073373</v>
      </c>
      <c r="E150" s="258">
        <f t="shared" si="17"/>
        <v>449.08834279127046</v>
      </c>
      <c r="F150" s="258">
        <v>377.10982073831462</v>
      </c>
      <c r="G150" s="258">
        <f t="shared" si="18"/>
        <v>395.96531177523036</v>
      </c>
      <c r="H150" s="258">
        <f t="shared" si="19"/>
        <v>804.81300434904836</v>
      </c>
      <c r="I150" s="258">
        <f t="shared" si="20"/>
        <v>845.05365456650088</v>
      </c>
    </row>
    <row r="151" spans="3:9" ht="15.75" thickBot="1" x14ac:dyDescent="0.3">
      <c r="C151" s="247">
        <f t="shared" si="21"/>
        <v>2035</v>
      </c>
      <c r="D151" s="266">
        <v>453.31143979968408</v>
      </c>
      <c r="E151" s="258">
        <f t="shared" si="17"/>
        <v>475.97701178966832</v>
      </c>
      <c r="F151" s="266">
        <v>360.63575632066772</v>
      </c>
      <c r="G151" s="258">
        <f t="shared" si="18"/>
        <v>378.66754413670111</v>
      </c>
      <c r="H151" s="258">
        <f t="shared" si="19"/>
        <v>813.9471961203518</v>
      </c>
      <c r="I151" s="258">
        <f t="shared" si="20"/>
        <v>854.64455592636943</v>
      </c>
    </row>
    <row r="152" spans="3:9" ht="15.75" thickBot="1" x14ac:dyDescent="0.3">
      <c r="C152" s="247">
        <f t="shared" si="21"/>
        <v>2036</v>
      </c>
      <c r="D152" s="258">
        <v>480.45296207167524</v>
      </c>
      <c r="E152" s="258">
        <f t="shared" si="17"/>
        <v>504.47561017525902</v>
      </c>
      <c r="F152" s="258">
        <v>342.89018620565656</v>
      </c>
      <c r="G152" s="258">
        <f t="shared" si="18"/>
        <v>360.0346955159394</v>
      </c>
      <c r="H152" s="258">
        <f t="shared" si="19"/>
        <v>823.34314827733181</v>
      </c>
      <c r="I152" s="258">
        <f t="shared" si="20"/>
        <v>864.51030569119848</v>
      </c>
    </row>
    <row r="153" spans="3:9" ht="15.75" thickBot="1" x14ac:dyDescent="0.3">
      <c r="C153" s="247">
        <f t="shared" si="21"/>
        <v>2037</v>
      </c>
      <c r="D153" s="266">
        <v>509.21955304161622</v>
      </c>
      <c r="E153" s="258">
        <f t="shared" si="17"/>
        <v>534.68053069369705</v>
      </c>
      <c r="F153" s="266">
        <v>326.39768218921347</v>
      </c>
      <c r="G153" s="258">
        <f t="shared" si="18"/>
        <v>342.71756629867417</v>
      </c>
      <c r="H153" s="258">
        <f t="shared" si="19"/>
        <v>835.61723523082969</v>
      </c>
      <c r="I153" s="258">
        <f t="shared" si="20"/>
        <v>877.39809699237117</v>
      </c>
    </row>
    <row r="154" spans="3:9" ht="15.75" thickBot="1" x14ac:dyDescent="0.3">
      <c r="C154" s="247">
        <f t="shared" si="21"/>
        <v>2038</v>
      </c>
      <c r="D154" s="258">
        <v>539.70851190468795</v>
      </c>
      <c r="E154" s="258">
        <f t="shared" si="17"/>
        <v>566.69393749992241</v>
      </c>
      <c r="F154" s="258">
        <v>308.53162681470997</v>
      </c>
      <c r="G154" s="258">
        <f t="shared" si="18"/>
        <v>323.9582081554455</v>
      </c>
      <c r="H154" s="258">
        <f t="shared" si="19"/>
        <v>848.24013871939792</v>
      </c>
      <c r="I154" s="258">
        <f t="shared" si="20"/>
        <v>890.65214565536792</v>
      </c>
    </row>
    <row r="155" spans="3:9" ht="15.75" thickBot="1" x14ac:dyDescent="0.3">
      <c r="C155" s="247">
        <f t="shared" si="21"/>
        <v>2039</v>
      </c>
      <c r="D155" s="266">
        <v>572.02296353802285</v>
      </c>
      <c r="E155" s="258">
        <f t="shared" si="17"/>
        <v>600.62411171492397</v>
      </c>
      <c r="F155" s="266">
        <v>289.20047672776764</v>
      </c>
      <c r="G155" s="258">
        <f t="shared" si="18"/>
        <v>303.66050056415605</v>
      </c>
      <c r="H155" s="258">
        <f t="shared" si="19"/>
        <v>861.22344026579049</v>
      </c>
      <c r="I155" s="258">
        <f t="shared" si="20"/>
        <v>904.28461227907997</v>
      </c>
    </row>
    <row r="156" spans="3:9" ht="15.75" thickBot="1" x14ac:dyDescent="0.3">
      <c r="C156" s="247">
        <f t="shared" si="21"/>
        <v>2040</v>
      </c>
      <c r="D156" s="258">
        <v>606.27220730698298</v>
      </c>
      <c r="E156" s="258">
        <f t="shared" si="17"/>
        <v>636.58581767233215</v>
      </c>
      <c r="F156" s="258">
        <v>268.30690435271447</v>
      </c>
      <c r="G156" s="258">
        <f t="shared" si="18"/>
        <v>281.72224957035019</v>
      </c>
      <c r="H156" s="258">
        <f t="shared" si="19"/>
        <v>874.57911165969745</v>
      </c>
      <c r="I156" s="258">
        <f t="shared" si="20"/>
        <v>918.30806724268234</v>
      </c>
    </row>
    <row r="157" spans="3:9" ht="15.75" thickBot="1" x14ac:dyDescent="0.3">
      <c r="C157" s="247">
        <f t="shared" si="21"/>
        <v>2041</v>
      </c>
      <c r="D157" s="266">
        <v>642.57208675583001</v>
      </c>
      <c r="E157" s="258">
        <f t="shared" si="17"/>
        <v>674.70069109362157</v>
      </c>
      <c r="F157" s="266">
        <v>245.74744089415299</v>
      </c>
      <c r="G157" s="258">
        <f t="shared" si="18"/>
        <v>258.03481293886063</v>
      </c>
      <c r="H157" s="258">
        <f t="shared" si="19"/>
        <v>888.319527649983</v>
      </c>
      <c r="I157" s="258">
        <f t="shared" si="20"/>
        <v>932.73550403248214</v>
      </c>
    </row>
    <row r="158" spans="3:9" ht="15.75" thickBot="1" x14ac:dyDescent="0.3">
      <c r="C158" s="247">
        <f t="shared" si="21"/>
        <v>2042</v>
      </c>
      <c r="D158" s="258">
        <v>681.04538143321565</v>
      </c>
      <c r="E158" s="258">
        <f t="shared" si="17"/>
        <v>715.09765050487647</v>
      </c>
      <c r="F158" s="258">
        <v>221.41209760309277</v>
      </c>
      <c r="G158" s="258">
        <f t="shared" si="18"/>
        <v>232.48270248324744</v>
      </c>
      <c r="H158" s="258">
        <f t="shared" si="19"/>
        <v>902.45747903630843</v>
      </c>
      <c r="I158" s="258">
        <f t="shared" si="20"/>
        <v>947.58035298812388</v>
      </c>
    </row>
    <row r="159" spans="3:9" ht="15.75" thickBot="1" x14ac:dyDescent="0.3">
      <c r="C159" s="247">
        <f t="shared" si="21"/>
        <v>2043</v>
      </c>
      <c r="D159" s="258">
        <v>721.82222217779224</v>
      </c>
      <c r="E159" s="258">
        <f t="shared" si="17"/>
        <v>757.9133332866819</v>
      </c>
      <c r="F159" s="258">
        <v>195.18396399494691</v>
      </c>
      <c r="G159" s="258">
        <f t="shared" si="18"/>
        <v>204.94316219469425</v>
      </c>
      <c r="H159" s="258">
        <f t="shared" ref="H159:H169" si="22">D159+F159</f>
        <v>917.00618617273915</v>
      </c>
      <c r="I159" s="258">
        <f t="shared" ref="I159:I169" si="23">E159+G159</f>
        <v>962.85649548137621</v>
      </c>
    </row>
    <row r="160" spans="3:9" ht="15.75" thickBot="1" x14ac:dyDescent="0.3">
      <c r="C160" s="247">
        <f t="shared" si="21"/>
        <v>2044</v>
      </c>
      <c r="D160" s="258">
        <v>758.34642661998839</v>
      </c>
      <c r="E160" s="258">
        <f t="shared" si="17"/>
        <v>796.26374795098786</v>
      </c>
      <c r="F160" s="258">
        <v>137.2011618609381</v>
      </c>
      <c r="G160" s="258">
        <f t="shared" si="18"/>
        <v>144.06121995398502</v>
      </c>
      <c r="H160" s="258">
        <f t="shared" si="22"/>
        <v>895.54758848092649</v>
      </c>
      <c r="I160" s="258">
        <f t="shared" si="23"/>
        <v>940.32496790497294</v>
      </c>
    </row>
    <row r="161" spans="3:9" ht="15.75" thickBot="1" x14ac:dyDescent="0.3">
      <c r="C161" s="247">
        <f t="shared" si="21"/>
        <v>2045</v>
      </c>
      <c r="D161" s="258">
        <v>796.71875580695996</v>
      </c>
      <c r="E161" s="258">
        <f t="shared" si="17"/>
        <v>836.55469359730796</v>
      </c>
      <c r="F161" s="258">
        <v>110.47077418332663</v>
      </c>
      <c r="G161" s="258">
        <f t="shared" si="18"/>
        <v>115.99431289249296</v>
      </c>
      <c r="H161" s="258">
        <f t="shared" si="22"/>
        <v>907.18952999028659</v>
      </c>
      <c r="I161" s="258">
        <f t="shared" si="23"/>
        <v>952.54900648980095</v>
      </c>
    </row>
    <row r="162" spans="3:9" ht="15.75" thickBot="1" x14ac:dyDescent="0.3">
      <c r="C162" s="247">
        <f t="shared" si="21"/>
        <v>2046</v>
      </c>
      <c r="D162" s="258">
        <v>837.03272485079185</v>
      </c>
      <c r="E162" s="258">
        <f t="shared" si="17"/>
        <v>878.88436109333145</v>
      </c>
      <c r="F162" s="258">
        <v>82.092636118335122</v>
      </c>
      <c r="G162" s="258">
        <f t="shared" si="18"/>
        <v>86.197267924251875</v>
      </c>
      <c r="H162" s="258">
        <f t="shared" si="22"/>
        <v>919.12536096912697</v>
      </c>
      <c r="I162" s="258">
        <f t="shared" si="23"/>
        <v>965.08162901758328</v>
      </c>
    </row>
    <row r="163" spans="3:9" ht="15.75" thickBot="1" x14ac:dyDescent="0.3">
      <c r="C163" s="247">
        <f t="shared" si="21"/>
        <v>2047</v>
      </c>
      <c r="D163" s="258">
        <v>879.38658072824228</v>
      </c>
      <c r="E163" s="258">
        <f t="shared" si="17"/>
        <v>923.35590976465448</v>
      </c>
      <c r="F163" s="258">
        <v>51.977014058353461</v>
      </c>
      <c r="G163" s="258">
        <f t="shared" si="18"/>
        <v>54.575864761271134</v>
      </c>
      <c r="H163" s="258">
        <f t="shared" si="22"/>
        <v>931.36359478659574</v>
      </c>
      <c r="I163" s="258">
        <f t="shared" si="23"/>
        <v>977.93177452592568</v>
      </c>
    </row>
    <row r="164" spans="3:9" ht="15.75" thickBot="1" x14ac:dyDescent="0.3">
      <c r="C164" s="247">
        <f t="shared" si="21"/>
        <v>2048</v>
      </c>
      <c r="D164" s="258">
        <v>923.8835417130914</v>
      </c>
      <c r="E164" s="258">
        <f t="shared" si="17"/>
        <v>970.07771879874599</v>
      </c>
      <c r="F164" s="258">
        <v>20.029440539309348</v>
      </c>
      <c r="G164" s="258">
        <f t="shared" si="18"/>
        <v>21.030912566274818</v>
      </c>
      <c r="H164" s="258">
        <f t="shared" si="22"/>
        <v>943.91298225240075</v>
      </c>
      <c r="I164" s="258">
        <f t="shared" si="23"/>
        <v>991.10863136502076</v>
      </c>
    </row>
    <row r="165" spans="3:9" ht="15.75" thickBot="1" x14ac:dyDescent="0.3">
      <c r="C165" s="247">
        <f t="shared" si="21"/>
        <v>2049</v>
      </c>
      <c r="D165" s="258">
        <v>970.63204892377371</v>
      </c>
      <c r="E165" s="258">
        <f t="shared" si="17"/>
        <v>1019.1636513699624</v>
      </c>
      <c r="F165" s="258">
        <v>0</v>
      </c>
      <c r="G165" s="258">
        <f t="shared" si="18"/>
        <v>0</v>
      </c>
      <c r="H165" s="258">
        <f t="shared" si="22"/>
        <v>970.63204892377371</v>
      </c>
      <c r="I165" s="258">
        <f t="shared" si="23"/>
        <v>1019.1636513699624</v>
      </c>
    </row>
    <row r="166" spans="3:9" ht="15.75" thickBot="1" x14ac:dyDescent="0.3">
      <c r="C166" s="247">
        <f t="shared" si="21"/>
        <v>2050</v>
      </c>
      <c r="D166" s="258">
        <v>1019.7460305993166</v>
      </c>
      <c r="E166" s="258">
        <f t="shared" si="17"/>
        <v>1070.7333321292824</v>
      </c>
      <c r="F166" s="258">
        <v>0</v>
      </c>
      <c r="G166" s="258">
        <f t="shared" si="18"/>
        <v>0</v>
      </c>
      <c r="H166" s="258">
        <f t="shared" si="22"/>
        <v>1019.7460305993166</v>
      </c>
      <c r="I166" s="258">
        <f t="shared" si="23"/>
        <v>1070.7333321292824</v>
      </c>
    </row>
    <row r="167" spans="3:9" ht="15.75" thickBot="1" x14ac:dyDescent="0.3">
      <c r="C167" s="247">
        <f t="shared" si="21"/>
        <v>2051</v>
      </c>
      <c r="D167" s="258">
        <v>1071.3451797476419</v>
      </c>
      <c r="E167" s="258">
        <f t="shared" si="17"/>
        <v>1124.9124387350239</v>
      </c>
      <c r="F167" s="258">
        <v>0</v>
      </c>
      <c r="G167" s="258">
        <f t="shared" si="18"/>
        <v>0</v>
      </c>
      <c r="H167" s="258">
        <f t="shared" si="22"/>
        <v>1071.3451797476419</v>
      </c>
      <c r="I167" s="258">
        <f t="shared" si="23"/>
        <v>1124.9124387350239</v>
      </c>
    </row>
    <row r="168" spans="3:9" ht="15.75" thickBot="1" x14ac:dyDescent="0.3">
      <c r="C168" s="247">
        <f t="shared" si="21"/>
        <v>2052</v>
      </c>
      <c r="D168" s="258">
        <v>1125.5552458428726</v>
      </c>
      <c r="E168" s="258">
        <f t="shared" si="17"/>
        <v>1181.8330081350164</v>
      </c>
      <c r="F168" s="258">
        <v>0</v>
      </c>
      <c r="G168" s="258">
        <f t="shared" si="18"/>
        <v>0</v>
      </c>
      <c r="H168" s="258">
        <f t="shared" si="22"/>
        <v>1125.5552458428726</v>
      </c>
      <c r="I168" s="258">
        <f t="shared" si="23"/>
        <v>1181.8330081350164</v>
      </c>
    </row>
    <row r="169" spans="3:9" ht="15.75" thickBot="1" x14ac:dyDescent="0.3">
      <c r="C169" s="247">
        <f t="shared" si="21"/>
        <v>2053</v>
      </c>
      <c r="D169" s="258">
        <v>1182.5083412825218</v>
      </c>
      <c r="E169" s="258">
        <f t="shared" si="17"/>
        <v>1241.6337583466479</v>
      </c>
      <c r="F169" s="258">
        <v>0</v>
      </c>
      <c r="G169" s="258">
        <f t="shared" si="18"/>
        <v>0</v>
      </c>
      <c r="H169" s="258">
        <f t="shared" si="22"/>
        <v>1182.5083412825218</v>
      </c>
      <c r="I169" s="258">
        <f t="shared" si="23"/>
        <v>1241.6337583466479</v>
      </c>
    </row>
    <row r="171" spans="3:9" ht="15.75" thickBot="1" x14ac:dyDescent="0.3"/>
    <row r="172" spans="3:9" ht="15.75" thickBot="1" x14ac:dyDescent="0.3">
      <c r="C172" s="803" t="s">
        <v>53</v>
      </c>
      <c r="D172" s="801" t="s">
        <v>531</v>
      </c>
      <c r="E172" s="801"/>
      <c r="F172" s="801"/>
      <c r="G172" s="801" t="s">
        <v>530</v>
      </c>
      <c r="H172" s="801"/>
      <c r="I172" s="802"/>
    </row>
    <row r="173" spans="3:9" ht="15.75" thickBot="1" x14ac:dyDescent="0.3">
      <c r="C173" s="804"/>
      <c r="D173" s="806" t="s">
        <v>546</v>
      </c>
      <c r="E173" s="806"/>
      <c r="F173" s="806"/>
      <c r="G173" s="806"/>
      <c r="H173" s="806"/>
      <c r="I173" s="807"/>
    </row>
    <row r="174" spans="3:9" ht="68.25" thickBot="1" x14ac:dyDescent="0.3">
      <c r="C174" s="805"/>
      <c r="D174" s="262" t="s">
        <v>547</v>
      </c>
      <c r="E174" s="262" t="s">
        <v>548</v>
      </c>
      <c r="F174" s="262" t="s">
        <v>549</v>
      </c>
      <c r="G174" s="262" t="s">
        <v>547</v>
      </c>
      <c r="H174" s="262" t="s">
        <v>548</v>
      </c>
      <c r="I174" s="286" t="s">
        <v>549</v>
      </c>
    </row>
    <row r="175" spans="3:9" ht="15.75" thickBot="1" x14ac:dyDescent="0.3">
      <c r="C175" s="272">
        <f>C140</f>
        <v>2024</v>
      </c>
      <c r="D175" s="258">
        <f t="array" ref="D175:D204">TRANSPOSE('6.Venituri'!P120:AS120)</f>
        <v>14465.983428490998</v>
      </c>
      <c r="E175" s="258">
        <f t="array" ref="E175:E204">TRANSPOSE('6.Venituri'!P126:AS126)</f>
        <v>16886.530389820811</v>
      </c>
      <c r="F175" s="258">
        <f t="array" ref="F175:F204">TRANSPOSE('6.Venituri'!P121:AS121)</f>
        <v>38209.738106626857</v>
      </c>
      <c r="G175" s="258">
        <f t="array" ref="G175:G204">TRANSPOSE('6.Venituri'!P53:AS53)</f>
        <v>14465.983428490996</v>
      </c>
      <c r="H175" s="258">
        <f t="array" ref="H175:H204">TRANSPOSE('6.Venituri'!P59:AS59)</f>
        <v>16886.530389820811</v>
      </c>
      <c r="I175" s="261">
        <f t="array" ref="I175:I204">TRANSPOSE('6.Venituri'!P54:AS54)</f>
        <v>38209.738106626857</v>
      </c>
    </row>
    <row r="176" spans="3:9" ht="15.75" thickBot="1" x14ac:dyDescent="0.3">
      <c r="C176" s="273">
        <f>C175+1</f>
        <v>2025</v>
      </c>
      <c r="D176" s="266">
        <v>14758.398165027354</v>
      </c>
      <c r="E176" s="266">
        <v>15797.802109581793</v>
      </c>
      <c r="F176" s="266">
        <v>33920.52007028331</v>
      </c>
      <c r="G176" s="266">
        <v>14758.398165027354</v>
      </c>
      <c r="H176" s="266">
        <v>15797.802109581793</v>
      </c>
      <c r="I176" s="267">
        <v>33920.52007028331</v>
      </c>
    </row>
    <row r="177" spans="3:9" ht="15.75" thickBot="1" x14ac:dyDescent="0.3">
      <c r="C177" s="273">
        <f t="shared" ref="C177:C204" si="24">C176+1</f>
        <v>2026</v>
      </c>
      <c r="D177" s="258">
        <v>15114.972527398089</v>
      </c>
      <c r="E177" s="258">
        <v>15907.371599181191</v>
      </c>
      <c r="F177" s="258">
        <v>33305.58342259741</v>
      </c>
      <c r="G177" s="258">
        <v>15186.242454103513</v>
      </c>
      <c r="H177" s="258">
        <v>15506.572964447048</v>
      </c>
      <c r="I177" s="261">
        <v>32236.879314525318</v>
      </c>
    </row>
    <row r="178" spans="3:9" ht="15.75" thickBot="1" x14ac:dyDescent="0.3">
      <c r="C178" s="273">
        <f t="shared" si="24"/>
        <v>2027</v>
      </c>
      <c r="D178" s="266">
        <v>15714.75526452918</v>
      </c>
      <c r="E178" s="266">
        <v>15847.091119476425</v>
      </c>
      <c r="F178" s="266">
        <v>31937.219157362204</v>
      </c>
      <c r="G178" s="266">
        <v>15915.255127473649</v>
      </c>
      <c r="H178" s="266">
        <v>14774.206171194855</v>
      </c>
      <c r="I178" s="267">
        <v>29077.385543827015</v>
      </c>
    </row>
    <row r="179" spans="3:9" ht="15.75" thickBot="1" x14ac:dyDescent="0.3">
      <c r="C179" s="273">
        <f t="shared" si="24"/>
        <v>2028</v>
      </c>
      <c r="D179" s="258">
        <v>16424.166461435816</v>
      </c>
      <c r="E179" s="258">
        <v>15697.423378379897</v>
      </c>
      <c r="F179" s="258">
        <v>30721.909615023007</v>
      </c>
      <c r="G179" s="258">
        <v>16587.186265521581</v>
      </c>
      <c r="H179" s="258">
        <v>13996.798726205392</v>
      </c>
      <c r="I179" s="261">
        <v>25868.442959460834</v>
      </c>
    </row>
    <row r="180" spans="3:9" ht="15.75" thickBot="1" x14ac:dyDescent="0.3">
      <c r="C180" s="273">
        <f t="shared" si="24"/>
        <v>2029</v>
      </c>
      <c r="D180" s="266">
        <v>17082.676991540626</v>
      </c>
      <c r="E180" s="266">
        <v>15532.110984148105</v>
      </c>
      <c r="F180" s="266">
        <v>29511.699203385655</v>
      </c>
      <c r="G180" s="266">
        <v>17372.491743773542</v>
      </c>
      <c r="H180" s="266">
        <v>13779.701664070835</v>
      </c>
      <c r="I180" s="267">
        <v>24666.182997712109</v>
      </c>
    </row>
    <row r="181" spans="3:9" ht="15.75" thickBot="1" x14ac:dyDescent="0.3">
      <c r="C181" s="273">
        <f t="shared" si="24"/>
        <v>2030</v>
      </c>
      <c r="D181" s="258">
        <v>17767.589842839458</v>
      </c>
      <c r="E181" s="258">
        <v>15372.123857966701</v>
      </c>
      <c r="F181" s="258">
        <v>28292.282247875679</v>
      </c>
      <c r="G181" s="258">
        <v>18196.000076421064</v>
      </c>
      <c r="H181" s="258">
        <v>13566.651086969398</v>
      </c>
      <c r="I181" s="261">
        <v>23434.240260088616</v>
      </c>
    </row>
    <row r="182" spans="3:9" ht="15.75" thickBot="1" x14ac:dyDescent="0.3">
      <c r="C182" s="273">
        <f t="shared" si="24"/>
        <v>2031</v>
      </c>
      <c r="D182" s="266">
        <v>18479.963589998264</v>
      </c>
      <c r="E182" s="266">
        <v>15216.936281023851</v>
      </c>
      <c r="F182" s="266">
        <v>27060.968014019203</v>
      </c>
      <c r="G182" s="266">
        <v>19059.618123063057</v>
      </c>
      <c r="H182" s="266">
        <v>13357.523829587799</v>
      </c>
      <c r="I182" s="267">
        <v>22170.419368720573</v>
      </c>
    </row>
    <row r="183" spans="3:9" ht="15.75" thickBot="1" x14ac:dyDescent="0.3">
      <c r="C183" s="273">
        <f t="shared" si="24"/>
        <v>2032</v>
      </c>
      <c r="D183" s="258">
        <v>19220.899250175655</v>
      </c>
      <c r="E183" s="258">
        <v>15223.843851449818</v>
      </c>
      <c r="F183" s="258">
        <v>26286.796418877027</v>
      </c>
      <c r="G183" s="258">
        <v>19965.350150423415</v>
      </c>
      <c r="H183" s="258">
        <v>13295.83361467547</v>
      </c>
      <c r="I183" s="261">
        <v>21318.41747675712</v>
      </c>
    </row>
    <row r="184" spans="3:9" ht="15.75" thickBot="1" x14ac:dyDescent="0.3">
      <c r="C184" s="273">
        <f t="shared" si="24"/>
        <v>2033</v>
      </c>
      <c r="D184" s="266">
        <v>19991.541984712196</v>
      </c>
      <c r="E184" s="266">
        <v>15466.1951546456</v>
      </c>
      <c r="F184" s="266">
        <v>25377.792119214726</v>
      </c>
      <c r="G184" s="266">
        <v>20915.302908107813</v>
      </c>
      <c r="H184" s="266">
        <v>13441.714931555294</v>
      </c>
      <c r="I184" s="267">
        <v>20337.31034810753</v>
      </c>
    </row>
    <row r="185" spans="3:9" ht="15.75" thickBot="1" x14ac:dyDescent="0.3">
      <c r="C185" s="273">
        <f t="shared" si="24"/>
        <v>2034</v>
      </c>
      <c r="D185" s="258">
        <v>20793.082869047248</v>
      </c>
      <c r="E185" s="258">
        <v>15717.202353858103</v>
      </c>
      <c r="F185" s="258">
        <v>24452.121969486103</v>
      </c>
      <c r="G185" s="258">
        <v>21911.690973233712</v>
      </c>
      <c r="H185" s="258">
        <v>13591.70915240256</v>
      </c>
      <c r="I185" s="261">
        <v>19319.738948939026</v>
      </c>
    </row>
    <row r="186" spans="3:9" ht="15.75" thickBot="1" x14ac:dyDescent="0.3">
      <c r="C186" s="273">
        <f t="shared" si="24"/>
        <v>2035</v>
      </c>
      <c r="D186" s="266">
        <v>21626.760733598829</v>
      </c>
      <c r="E186" s="266">
        <v>15977.494269325105</v>
      </c>
      <c r="F186" s="266">
        <v>23509.375486368594</v>
      </c>
      <c r="G186" s="266">
        <v>22956.84237836433</v>
      </c>
      <c r="H186" s="266">
        <v>13745.967691003387</v>
      </c>
      <c r="I186" s="267">
        <v>18263.510441109207</v>
      </c>
    </row>
    <row r="187" spans="3:9" ht="15.75" thickBot="1" x14ac:dyDescent="0.3">
      <c r="C187" s="273">
        <f t="shared" si="24"/>
        <v>2036</v>
      </c>
      <c r="D187" s="258">
        <v>22493.864078451741</v>
      </c>
      <c r="E187" s="258">
        <v>16247.257908643815</v>
      </c>
      <c r="F187" s="258">
        <v>22547.774196178994</v>
      </c>
      <c r="G187" s="258">
        <v>24053.204537960359</v>
      </c>
      <c r="H187" s="258">
        <v>13904.646847822993</v>
      </c>
      <c r="I187" s="261">
        <v>17166.316859200819</v>
      </c>
    </row>
    <row r="188" spans="3:9" ht="15.75" thickBot="1" x14ac:dyDescent="0.3">
      <c r="C188" s="273">
        <f t="shared" si="24"/>
        <v>2037</v>
      </c>
      <c r="D188" s="266">
        <v>23395.73306481319</v>
      </c>
      <c r="E188" s="266">
        <v>16576.475007604222</v>
      </c>
      <c r="F188" s="266">
        <v>21700.958525286889</v>
      </c>
      <c r="G188" s="266">
        <v>25203.350489388165</v>
      </c>
      <c r="H188" s="266">
        <v>14111.932042124959</v>
      </c>
      <c r="I188" s="267">
        <v>16154.751195240091</v>
      </c>
    </row>
    <row r="189" spans="3:9" ht="15.75" thickBot="1" x14ac:dyDescent="0.3">
      <c r="C189" s="273">
        <f t="shared" si="24"/>
        <v>2038</v>
      </c>
      <c r="D189" s="258">
        <v>24333.761586313805</v>
      </c>
      <c r="E189" s="258">
        <v>16917.838086247186</v>
      </c>
      <c r="F189" s="258">
        <v>20832.667702880928</v>
      </c>
      <c r="G189" s="258">
        <v>26409.985465393751</v>
      </c>
      <c r="H189" s="258">
        <v>14325.108061831841</v>
      </c>
      <c r="I189" s="261">
        <v>15097.623254142347</v>
      </c>
    </row>
    <row r="190" spans="3:9" ht="15.75" thickBot="1" x14ac:dyDescent="0.3">
      <c r="C190" s="273">
        <f t="shared" si="24"/>
        <v>2039</v>
      </c>
      <c r="D190" s="266">
        <v>25309.399423355477</v>
      </c>
      <c r="E190" s="266">
        <v>17271.874663926195</v>
      </c>
      <c r="F190" s="266">
        <v>19941.661577740095</v>
      </c>
      <c r="G190" s="266">
        <v>27675.953815869718</v>
      </c>
      <c r="H190" s="266">
        <v>14544.370496090387</v>
      </c>
      <c r="I190" s="267">
        <v>13992.268750786221</v>
      </c>
    </row>
    <row r="191" spans="3:9" ht="15.75" thickBot="1" x14ac:dyDescent="0.3">
      <c r="C191" s="273">
        <f t="shared" si="24"/>
        <v>2040</v>
      </c>
      <c r="D191" s="258">
        <v>26324.154483835489</v>
      </c>
      <c r="E191" s="258">
        <v>17639.13666491993</v>
      </c>
      <c r="F191" s="258">
        <v>19026.651386598285</v>
      </c>
      <c r="G191" s="258">
        <v>29004.246297710553</v>
      </c>
      <c r="H191" s="258">
        <v>14769.921524888523</v>
      </c>
      <c r="I191" s="261">
        <v>12835.8836895883</v>
      </c>
    </row>
    <row r="192" spans="3:9" ht="15.75" thickBot="1" x14ac:dyDescent="0.3">
      <c r="C192" s="273">
        <f t="shared" si="24"/>
        <v>2041</v>
      </c>
      <c r="D192" s="266">
        <v>27379.595133710394</v>
      </c>
      <c r="E192" s="266">
        <v>18020.201572064041</v>
      </c>
      <c r="F192" s="266">
        <v>18086.297626391526</v>
      </c>
      <c r="G192" s="266">
        <v>30398.007752572907</v>
      </c>
      <c r="H192" s="266">
        <v>15001.970133402292</v>
      </c>
      <c r="I192" s="267">
        <v>11625.516836858829</v>
      </c>
    </row>
    <row r="193" spans="3:9" ht="15.75" thickBot="1" x14ac:dyDescent="0.3">
      <c r="C193" s="273">
        <f t="shared" si="24"/>
        <v>2042</v>
      </c>
      <c r="D193" s="258">
        <v>28477.352621001381</v>
      </c>
      <c r="E193" s="258">
        <v>18415.673635266314</v>
      </c>
      <c r="F193" s="258">
        <v>17119.207839909483</v>
      </c>
      <c r="G193" s="258">
        <v>31860.545193434449</v>
      </c>
      <c r="H193" s="258">
        <v>15240.732333087626</v>
      </c>
      <c r="I193" s="261">
        <v>10358.061789085363</v>
      </c>
    </row>
    <row r="194" spans="3:9" ht="15.75" thickBot="1" x14ac:dyDescent="0.3">
      <c r="C194" s="273">
        <f t="shared" si="24"/>
        <v>2043</v>
      </c>
      <c r="D194" s="258">
        <v>29619.123596987818</v>
      </c>
      <c r="E194" s="258">
        <v>18826.185137535434</v>
      </c>
      <c r="F194" s="258">
        <v>16123.934311313422</v>
      </c>
      <c r="G194" s="258">
        <v>33395.336321981034</v>
      </c>
      <c r="H194" s="258">
        <v>15486.43138972972</v>
      </c>
      <c r="I194" s="261">
        <v>9030.2486152375368</v>
      </c>
    </row>
    <row r="195" spans="3:9" ht="15.75" thickBot="1" x14ac:dyDescent="0.3">
      <c r="C195" s="273">
        <f t="shared" si="24"/>
        <v>2044</v>
      </c>
      <c r="D195" s="258">
        <v>30806.672738485442</v>
      </c>
      <c r="E195" s="258">
        <v>20462.336823358622</v>
      </c>
      <c r="F195" s="258">
        <v>18414.651332104604</v>
      </c>
      <c r="G195" s="258">
        <v>35006.038500049821</v>
      </c>
      <c r="H195" s="258">
        <v>15124.037868415491</v>
      </c>
      <c r="I195" s="261">
        <v>6333.344479201075</v>
      </c>
    </row>
    <row r="196" spans="3:9" ht="15.75" thickBot="1" x14ac:dyDescent="0.3">
      <c r="C196" s="273">
        <f t="shared" si="24"/>
        <v>2045</v>
      </c>
      <c r="D196" s="258">
        <v>32041.835475262276</v>
      </c>
      <c r="E196" s="258">
        <v>22120.524288421009</v>
      </c>
      <c r="F196" s="258">
        <v>20636.091243015951</v>
      </c>
      <c r="G196" s="258">
        <v>36696.498199620473</v>
      </c>
      <c r="H196" s="258">
        <v>15320.647369143537</v>
      </c>
      <c r="I196" s="261">
        <v>5088.2328756314073</v>
      </c>
    </row>
    <row r="197" spans="3:9" ht="15.75" thickBot="1" x14ac:dyDescent="0.3">
      <c r="C197" s="273">
        <f t="shared" si="24"/>
        <v>2046</v>
      </c>
      <c r="D197" s="258">
        <v>33326.520826807442</v>
      </c>
      <c r="E197" s="258">
        <v>23801.643979492332</v>
      </c>
      <c r="F197" s="258">
        <v>22788.019161864195</v>
      </c>
      <c r="G197" s="258">
        <v>38470.760957178871</v>
      </c>
      <c r="H197" s="258">
        <v>15522.220085140902</v>
      </c>
      <c r="I197" s="261">
        <v>3773.0498302991782</v>
      </c>
    </row>
    <row r="198" spans="3:9" ht="15.75" thickBot="1" x14ac:dyDescent="0.3">
      <c r="C198" s="273">
        <f t="shared" si="24"/>
        <v>2047</v>
      </c>
      <c r="D198" s="258">
        <v>34662.714352837465</v>
      </c>
      <c r="E198" s="258">
        <v>25505.976316399287</v>
      </c>
      <c r="F198" s="258">
        <v>24868.617512221157</v>
      </c>
      <c r="G198" s="258">
        <v>40333.081859684695</v>
      </c>
      <c r="H198" s="258">
        <v>15728.899790472788</v>
      </c>
      <c r="I198" s="261">
        <v>2383.9267152581247</v>
      </c>
    </row>
    <row r="199" spans="3:9" ht="15.75" thickBot="1" x14ac:dyDescent="0.3">
      <c r="C199" s="273">
        <f t="shared" si="24"/>
        <v>2048</v>
      </c>
      <c r="D199" s="258">
        <v>36052.481222100141</v>
      </c>
      <c r="E199" s="258">
        <v>27234.147514558299</v>
      </c>
      <c r="F199" s="258">
        <v>26876.779085478258</v>
      </c>
      <c r="G199" s="258">
        <v>42287.93659085688</v>
      </c>
      <c r="H199" s="258">
        <v>15940.834269108587</v>
      </c>
      <c r="I199" s="261">
        <v>916.78623250081205</v>
      </c>
    </row>
    <row r="200" spans="3:9" ht="15.75" thickBot="1" x14ac:dyDescent="0.3">
      <c r="C200" s="273">
        <f t="shared" si="24"/>
        <v>2049</v>
      </c>
      <c r="D200" s="258">
        <v>37497.969404219017</v>
      </c>
      <c r="E200" s="258">
        <v>28986.808891810542</v>
      </c>
      <c r="F200" s="258">
        <v>28811.330596856289</v>
      </c>
      <c r="G200" s="258">
        <v>43707.364215903362</v>
      </c>
      <c r="H200" s="258">
        <v>16158.175420772059</v>
      </c>
      <c r="I200" s="261">
        <v>0</v>
      </c>
    </row>
    <row r="201" spans="3:9" ht="15.75" thickBot="1" x14ac:dyDescent="0.3">
      <c r="C201" s="273">
        <f t="shared" si="24"/>
        <v>2050</v>
      </c>
      <c r="D201" s="258">
        <v>39001.412989511773</v>
      </c>
      <c r="E201" s="258">
        <v>30764.638059663757</v>
      </c>
      <c r="F201" s="258">
        <v>30671.030290303544</v>
      </c>
      <c r="G201" s="258">
        <v>44225.356115572431</v>
      </c>
      <c r="H201" s="258">
        <v>16381.079369514146</v>
      </c>
      <c r="I201" s="261">
        <v>0</v>
      </c>
    </row>
    <row r="202" spans="3:9" ht="15.75" thickBot="1" x14ac:dyDescent="0.3">
      <c r="C202" s="273">
        <f t="shared" si="24"/>
        <v>2051</v>
      </c>
      <c r="D202" s="258">
        <v>40565.135641913257</v>
      </c>
      <c r="E202" s="258">
        <v>32568.340173283068</v>
      </c>
      <c r="F202" s="258">
        <v>32454.565443136307</v>
      </c>
      <c r="G202" s="258">
        <v>44759.134959442257</v>
      </c>
      <c r="H202" s="258">
        <v>16609.706575079068</v>
      </c>
      <c r="I202" s="261">
        <v>0</v>
      </c>
    </row>
    <row r="203" spans="3:9" ht="15.75" thickBot="1" x14ac:dyDescent="0.3">
      <c r="C203" s="273">
        <f t="shared" si="24"/>
        <v>2052</v>
      </c>
      <c r="D203" s="258">
        <v>42191.554190340132</v>
      </c>
      <c r="E203" s="258">
        <v>34398.649243176369</v>
      </c>
      <c r="F203" s="258">
        <v>34160.549766478551</v>
      </c>
      <c r="G203" s="258">
        <v>45309.150665246954</v>
      </c>
      <c r="H203" s="258">
        <v>16844.221947135837</v>
      </c>
      <c r="I203" s="261">
        <v>0</v>
      </c>
    </row>
    <row r="204" spans="3:9" ht="15.75" thickBot="1" x14ac:dyDescent="0.3">
      <c r="C204" s="273">
        <f t="shared" si="24"/>
        <v>2053</v>
      </c>
      <c r="D204" s="258">
        <v>43883.182364047621</v>
      </c>
      <c r="E204" s="258">
        <v>36256.329511669603</v>
      </c>
      <c r="F204" s="258">
        <v>35787.52069740001</v>
      </c>
      <c r="G204" s="258">
        <v>45875.86705062972</v>
      </c>
      <c r="H204" s="258">
        <v>17084.794962449501</v>
      </c>
      <c r="I204" s="261">
        <v>0</v>
      </c>
    </row>
    <row r="205" spans="3:9" ht="15.75" thickBot="1" x14ac:dyDescent="0.3"/>
    <row r="206" spans="3:9" ht="15.75" thickBot="1" x14ac:dyDescent="0.3">
      <c r="C206" s="799" t="s">
        <v>518</v>
      </c>
      <c r="D206" s="797" t="s">
        <v>35</v>
      </c>
      <c r="E206" s="797"/>
      <c r="F206" s="797"/>
      <c r="G206" s="797" t="s">
        <v>33</v>
      </c>
      <c r="H206" s="797"/>
      <c r="I206" s="798"/>
    </row>
    <row r="207" spans="3:9" ht="72" thickBot="1" x14ac:dyDescent="0.3">
      <c r="C207" s="800"/>
      <c r="D207" s="287" t="s">
        <v>550</v>
      </c>
      <c r="E207" s="250" t="s">
        <v>551</v>
      </c>
      <c r="F207" s="250" t="s">
        <v>552</v>
      </c>
      <c r="G207" s="287" t="s">
        <v>550</v>
      </c>
      <c r="H207" s="250" t="s">
        <v>551</v>
      </c>
      <c r="I207" s="288" t="s">
        <v>552</v>
      </c>
    </row>
    <row r="208" spans="3:9" ht="15.75" thickBot="1" x14ac:dyDescent="0.3">
      <c r="C208" s="273">
        <f>C175</f>
        <v>2024</v>
      </c>
      <c r="D208" s="266">
        <f t="array" ref="D208:D237">TRANSPOSE('6.Venituri'!P134:AS134)</f>
        <v>191700.34870759881</v>
      </c>
      <c r="E208" s="289">
        <f t="array" ref="E208:E237">TRANSPOSE('6.Venituri'!P135:AS135)</f>
        <v>282.45499999999998</v>
      </c>
      <c r="F208" s="266">
        <f>D208*E208/1000</f>
        <v>54146.721994204818</v>
      </c>
      <c r="G208" s="266">
        <f t="array" ref="G208:G237">TRANSPOSE('6.Venituri'!P67:AS67)</f>
        <v>191700.34870759881</v>
      </c>
      <c r="H208" s="289">
        <f>E208</f>
        <v>282.45499999999998</v>
      </c>
      <c r="I208" s="266">
        <f>G208*H208/1000</f>
        <v>54146.721994204818</v>
      </c>
    </row>
    <row r="209" spans="3:9" ht="15.75" thickBot="1" x14ac:dyDescent="0.3">
      <c r="C209" s="272">
        <f>C208+1</f>
        <v>2025</v>
      </c>
      <c r="D209" s="258">
        <v>188883.60455645999</v>
      </c>
      <c r="E209" s="290">
        <v>167.32499999999999</v>
      </c>
      <c r="F209" s="266">
        <f t="shared" ref="F209:F237" si="25">D209*E209/1000</f>
        <v>31604.949132409667</v>
      </c>
      <c r="G209" s="258">
        <v>188883.60455645999</v>
      </c>
      <c r="H209" s="289">
        <f t="shared" ref="H209:H237" si="26">E209</f>
        <v>167.32499999999999</v>
      </c>
      <c r="I209" s="266">
        <f t="shared" ref="I209:I237" si="27">G209*H209/1000</f>
        <v>31604.949132409667</v>
      </c>
    </row>
    <row r="210" spans="3:9" ht="15.75" thickBot="1" x14ac:dyDescent="0.3">
      <c r="C210" s="272">
        <f t="shared" ref="C210:C236" si="28">C209+1</f>
        <v>2026</v>
      </c>
      <c r="D210" s="266">
        <v>186146.7390270379</v>
      </c>
      <c r="E210" s="289">
        <v>197.5</v>
      </c>
      <c r="F210" s="266">
        <f t="shared" si="25"/>
        <v>36763.980957839987</v>
      </c>
      <c r="G210" s="266">
        <v>180915.56543796786</v>
      </c>
      <c r="H210" s="289">
        <f t="shared" si="26"/>
        <v>197.5</v>
      </c>
      <c r="I210" s="266">
        <f t="shared" si="27"/>
        <v>35730.824173998655</v>
      </c>
    </row>
    <row r="211" spans="3:9" ht="15.75" thickBot="1" x14ac:dyDescent="0.3">
      <c r="C211" s="272">
        <f t="shared" si="28"/>
        <v>2027</v>
      </c>
      <c r="D211" s="258">
        <v>183487.35800283818</v>
      </c>
      <c r="E211" s="290">
        <v>187.69724137931036</v>
      </c>
      <c r="F211" s="266">
        <f t="shared" si="25"/>
        <v>34440.070925110653</v>
      </c>
      <c r="G211" s="258">
        <v>169183.932760911</v>
      </c>
      <c r="H211" s="289">
        <f t="shared" si="26"/>
        <v>187.69724137931036</v>
      </c>
      <c r="I211" s="266">
        <f t="shared" si="27"/>
        <v>31755.357464925724</v>
      </c>
    </row>
    <row r="212" spans="3:9" ht="15.75" thickBot="1" x14ac:dyDescent="0.3">
      <c r="C212" s="272">
        <f t="shared" si="28"/>
        <v>2028</v>
      </c>
      <c r="D212" s="266">
        <v>181690.40657190548</v>
      </c>
      <c r="E212" s="289">
        <v>177.48925887802366</v>
      </c>
      <c r="F212" s="266">
        <f t="shared" si="25"/>
        <v>32248.0956076943</v>
      </c>
      <c r="G212" s="266">
        <v>157004.46231620229</v>
      </c>
      <c r="H212" s="289">
        <f t="shared" si="26"/>
        <v>177.48925887802366</v>
      </c>
      <c r="I212" s="266">
        <f t="shared" si="27"/>
        <v>27866.605657045337</v>
      </c>
    </row>
    <row r="213" spans="3:9" ht="15.75" thickBot="1" x14ac:dyDescent="0.3">
      <c r="C213" s="272">
        <f t="shared" si="28"/>
        <v>2029</v>
      </c>
      <c r="D213" s="258">
        <v>179926.49417289862</v>
      </c>
      <c r="E213" s="290">
        <v>166.81623572633052</v>
      </c>
      <c r="F213" s="266">
        <f t="shared" si="25"/>
        <v>30014.660465358487</v>
      </c>
      <c r="G213" s="258">
        <v>155724.80984466779</v>
      </c>
      <c r="H213" s="289">
        <f t="shared" si="26"/>
        <v>166.81623572633052</v>
      </c>
      <c r="I213" s="266">
        <f t="shared" si="27"/>
        <v>25977.426587486094</v>
      </c>
    </row>
    <row r="214" spans="3:9" ht="15.75" thickBot="1" x14ac:dyDescent="0.3">
      <c r="C214" s="272">
        <f t="shared" si="28"/>
        <v>2030</v>
      </c>
      <c r="D214" s="266">
        <v>178195.01290493199</v>
      </c>
      <c r="E214" s="289">
        <v>155.63249828892305</v>
      </c>
      <c r="F214" s="266">
        <f t="shared" si="25"/>
        <v>27732.935041021447</v>
      </c>
      <c r="G214" s="266">
        <v>154466.66322494438</v>
      </c>
      <c r="H214" s="289">
        <f t="shared" si="26"/>
        <v>155.63249828892305</v>
      </c>
      <c r="I214" s="266">
        <f t="shared" si="27"/>
        <v>24040.032700051808</v>
      </c>
    </row>
    <row r="215" spans="3:9" ht="15.75" thickBot="1" x14ac:dyDescent="0.3">
      <c r="C215" s="272">
        <f t="shared" si="28"/>
        <v>2031</v>
      </c>
      <c r="D215" s="258">
        <v>176495.36605999444</v>
      </c>
      <c r="E215" s="290">
        <v>143.88242421785216</v>
      </c>
      <c r="F215" s="266">
        <f t="shared" si="25"/>
        <v>25394.581131929226</v>
      </c>
      <c r="G215" s="258">
        <v>153229.6368038037</v>
      </c>
      <c r="H215" s="289">
        <f t="shared" si="26"/>
        <v>143.88242421785216</v>
      </c>
      <c r="I215" s="266">
        <f t="shared" si="27"/>
        <v>22047.051605352299</v>
      </c>
    </row>
    <row r="216" spans="3:9" ht="15.75" thickBot="1" x14ac:dyDescent="0.3">
      <c r="C216" s="272">
        <f t="shared" si="28"/>
        <v>2032</v>
      </c>
      <c r="D216" s="266">
        <v>174826.96791672354</v>
      </c>
      <c r="E216" s="289">
        <v>145.24555957204279</v>
      </c>
      <c r="F216" s="266">
        <f t="shared" si="25"/>
        <v>25392.840783348085</v>
      </c>
      <c r="G216" s="266">
        <v>152013.35194868603</v>
      </c>
      <c r="H216" s="289">
        <f t="shared" si="26"/>
        <v>145.24555957204279</v>
      </c>
      <c r="I216" s="266">
        <f t="shared" si="27"/>
        <v>22079.264366208783</v>
      </c>
    </row>
    <row r="217" spans="3:9" ht="15.75" thickBot="1" x14ac:dyDescent="0.3">
      <c r="C217" s="272">
        <f t="shared" si="28"/>
        <v>2033</v>
      </c>
      <c r="D217" s="258">
        <v>173580.31303697612</v>
      </c>
      <c r="E217" s="290">
        <v>146.46622917280874</v>
      </c>
      <c r="F217" s="266">
        <f t="shared" si="25"/>
        <v>25423.653909161625</v>
      </c>
      <c r="G217" s="258">
        <v>151208.50641838953</v>
      </c>
      <c r="H217" s="289">
        <f t="shared" si="26"/>
        <v>146.46622917280874</v>
      </c>
      <c r="I217" s="266">
        <f t="shared" si="27"/>
        <v>22146.939753953964</v>
      </c>
    </row>
    <row r="218" spans="3:9" ht="15.75" thickBot="1" x14ac:dyDescent="0.3">
      <c r="C218" s="272">
        <f t="shared" si="28"/>
        <v>2034</v>
      </c>
      <c r="D218" s="266">
        <v>172356.92385392197</v>
      </c>
      <c r="E218" s="289">
        <v>147.54041990033522</v>
      </c>
      <c r="F218" s="266">
        <f t="shared" si="25"/>
        <v>25429.612918137751</v>
      </c>
      <c r="G218" s="266">
        <v>150416.8220238981</v>
      </c>
      <c r="H218" s="289">
        <f t="shared" si="26"/>
        <v>147.54041990033522</v>
      </c>
      <c r="I218" s="266">
        <f t="shared" si="27"/>
        <v>22192.561081479918</v>
      </c>
    </row>
    <row r="219" spans="3:9" ht="15.75" thickBot="1" x14ac:dyDescent="0.3">
      <c r="C219" s="272">
        <f t="shared" si="28"/>
        <v>2035</v>
      </c>
      <c r="D219" s="258">
        <v>171156.36617149657</v>
      </c>
      <c r="E219" s="290">
        <v>148.46388599018056</v>
      </c>
      <c r="F219" s="266">
        <f t="shared" si="25"/>
        <v>25410.539233778662</v>
      </c>
      <c r="G219" s="258">
        <v>149638.06019921106</v>
      </c>
      <c r="H219" s="289">
        <f t="shared" si="26"/>
        <v>148.46388599018056</v>
      </c>
      <c r="I219" s="266">
        <f t="shared" si="27"/>
        <v>22215.847909207445</v>
      </c>
    </row>
    <row r="220" spans="3:9" ht="15.75" thickBot="1" x14ac:dyDescent="0.3">
      <c r="C220" s="272">
        <f t="shared" si="28"/>
        <v>2036</v>
      </c>
      <c r="D220" s="266">
        <v>169978.21389681948</v>
      </c>
      <c r="E220" s="289">
        <v>149.2321281994289</v>
      </c>
      <c r="F220" s="266">
        <f t="shared" si="25"/>
        <v>25366.21060736011</v>
      </c>
      <c r="G220" s="266">
        <v>148871.98680380572</v>
      </c>
      <c r="H220" s="289">
        <f t="shared" si="26"/>
        <v>149.2321281994289</v>
      </c>
      <c r="I220" s="266">
        <f t="shared" si="27"/>
        <v>22216.483420009223</v>
      </c>
    </row>
    <row r="221" spans="3:9" ht="15.75" thickBot="1" x14ac:dyDescent="0.3">
      <c r="C221" s="272">
        <f t="shared" si="28"/>
        <v>2037</v>
      </c>
      <c r="D221" s="258">
        <v>168822.04888896851</v>
      </c>
      <c r="E221" s="290">
        <v>154.43212819942889</v>
      </c>
      <c r="F221" s="266">
        <f t="shared" si="25"/>
        <v>26071.548296911438</v>
      </c>
      <c r="G221" s="258">
        <v>148118.37204014845</v>
      </c>
      <c r="H221" s="289">
        <f t="shared" si="26"/>
        <v>154.43212819942889</v>
      </c>
      <c r="I221" s="266">
        <f t="shared" si="27"/>
        <v>22874.235419594908</v>
      </c>
    </row>
    <row r="222" spans="3:9" ht="15.75" thickBot="1" x14ac:dyDescent="0.3">
      <c r="C222" s="272">
        <f t="shared" si="28"/>
        <v>2038</v>
      </c>
      <c r="D222" s="266">
        <v>167687.46081057657</v>
      </c>
      <c r="E222" s="289">
        <v>159.63212819942888</v>
      </c>
      <c r="F222" s="266">
        <f t="shared" si="25"/>
        <v>26768.306241550665</v>
      </c>
      <c r="G222" s="266">
        <v>147376.99037274477</v>
      </c>
      <c r="H222" s="289">
        <f t="shared" si="26"/>
        <v>159.63212819942888</v>
      </c>
      <c r="I222" s="266">
        <f t="shared" si="27"/>
        <v>23526.102620827987</v>
      </c>
    </row>
    <row r="223" spans="3:9" ht="15.75" thickBot="1" x14ac:dyDescent="0.3">
      <c r="C223" s="272">
        <f t="shared" si="28"/>
        <v>2039</v>
      </c>
      <c r="D223" s="258">
        <v>166574.04698219761</v>
      </c>
      <c r="E223" s="290">
        <v>164.83212819942887</v>
      </c>
      <c r="F223" s="266">
        <f t="shared" si="25"/>
        <v>27456.754666867288</v>
      </c>
      <c r="G223" s="258">
        <v>146647.62044869986</v>
      </c>
      <c r="H223" s="289">
        <f t="shared" si="26"/>
        <v>164.83212819942887</v>
      </c>
      <c r="I223" s="266">
        <f t="shared" si="27"/>
        <v>24172.23937394128</v>
      </c>
    </row>
    <row r="224" spans="3:9" ht="15.75" thickBot="1" x14ac:dyDescent="0.3">
      <c r="C224" s="272">
        <f t="shared" si="28"/>
        <v>2040</v>
      </c>
      <c r="D224" s="266">
        <v>165481.4122393908</v>
      </c>
      <c r="E224" s="289">
        <v>170.03212819942885</v>
      </c>
      <c r="F224" s="266">
        <f t="shared" si="25"/>
        <v>28137.156700510634</v>
      </c>
      <c r="G224" s="266">
        <v>145930.04501976114</v>
      </c>
      <c r="H224" s="289">
        <f t="shared" si="26"/>
        <v>170.03212819942885</v>
      </c>
      <c r="I224" s="266">
        <f t="shared" si="27"/>
        <v>24812.79612294845</v>
      </c>
    </row>
    <row r="225" spans="3:9" ht="15.75" thickBot="1" x14ac:dyDescent="0.3">
      <c r="C225" s="272">
        <f t="shared" si="28"/>
        <v>2041</v>
      </c>
      <c r="D225" s="258">
        <v>164409.16879247158</v>
      </c>
      <c r="E225" s="290">
        <v>175.23212819942884</v>
      </c>
      <c r="F225" s="266">
        <f t="shared" si="25"/>
        <v>28809.768543003916</v>
      </c>
      <c r="G225" s="258">
        <v>145224.05086581522</v>
      </c>
      <c r="H225" s="289">
        <f t="shared" si="26"/>
        <v>175.23212819942884</v>
      </c>
      <c r="I225" s="266">
        <f t="shared" si="27"/>
        <v>25447.919498958909</v>
      </c>
    </row>
    <row r="226" spans="3:9" ht="15.75" thickBot="1" x14ac:dyDescent="0.3">
      <c r="C226" s="272">
        <f t="shared" si="28"/>
        <v>2042</v>
      </c>
      <c r="D226" s="266">
        <v>163356.93608888052</v>
      </c>
      <c r="E226" s="289">
        <v>180.43212819942883</v>
      </c>
      <c r="F226" s="266">
        <f t="shared" si="25"/>
        <v>29474.839634654792</v>
      </c>
      <c r="G226" s="266">
        <v>144529.42871981268</v>
      </c>
      <c r="H226" s="289">
        <f t="shared" si="26"/>
        <v>180.43212819942883</v>
      </c>
      <c r="I226" s="266">
        <f t="shared" si="27"/>
        <v>26077.752411363454</v>
      </c>
    </row>
    <row r="227" spans="3:9" ht="15.75" thickBot="1" x14ac:dyDescent="0.3">
      <c r="C227" s="272">
        <f t="shared" si="28"/>
        <v>2043</v>
      </c>
      <c r="D227" s="266">
        <v>162324.34067812024</v>
      </c>
      <c r="E227" s="289">
        <v>185.63212819942882</v>
      </c>
      <c r="F227" s="266">
        <f t="shared" si="25"/>
        <v>30132.612818648573</v>
      </c>
      <c r="G227" s="266">
        <v>143845.97319409286</v>
      </c>
      <c r="H227" s="289">
        <f t="shared" si="26"/>
        <v>185.63212819942882</v>
      </c>
      <c r="I227" s="266">
        <f t="shared" si="27"/>
        <v>26702.434136937445</v>
      </c>
    </row>
    <row r="228" spans="3:9" ht="15.75" thickBot="1" x14ac:dyDescent="0.3">
      <c r="C228" s="272">
        <f t="shared" si="28"/>
        <v>2044</v>
      </c>
      <c r="D228" s="266">
        <v>161781.3670149417</v>
      </c>
      <c r="E228" s="289">
        <v>190.83212819942881</v>
      </c>
      <c r="F228" s="266">
        <f t="shared" si="25"/>
        <v>30873.082570474195</v>
      </c>
      <c r="G228" s="266">
        <v>143707.94883184929</v>
      </c>
      <c r="H228" s="289">
        <f t="shared" si="26"/>
        <v>190.83212819942881</v>
      </c>
      <c r="I228" s="266">
        <f t="shared" si="27"/>
        <v>27424.093714756422</v>
      </c>
    </row>
    <row r="229" spans="3:9" ht="15.75" thickBot="1" x14ac:dyDescent="0.3">
      <c r="C229" s="272">
        <f t="shared" si="28"/>
        <v>2045</v>
      </c>
      <c r="D229" s="266">
        <v>161243.82308839491</v>
      </c>
      <c r="E229" s="289">
        <v>196.0321281994288</v>
      </c>
      <c r="F229" s="266">
        <f t="shared" si="25"/>
        <v>31608.969799030248</v>
      </c>
      <c r="G229" s="266">
        <v>143573.6755847708</v>
      </c>
      <c r="H229" s="289">
        <f t="shared" si="26"/>
        <v>196.0321281994288</v>
      </c>
      <c r="I229" s="266">
        <f t="shared" si="27"/>
        <v>28145.053178296992</v>
      </c>
    </row>
    <row r="230" spans="3:9" ht="15.75" thickBot="1" x14ac:dyDescent="0.3">
      <c r="C230" s="272">
        <f t="shared" si="28"/>
        <v>2046</v>
      </c>
      <c r="D230" s="266">
        <v>160711.65460111364</v>
      </c>
      <c r="E230" s="289">
        <v>201.23212819942879</v>
      </c>
      <c r="F230" s="266">
        <f t="shared" si="25"/>
        <v>32340.34828183362</v>
      </c>
      <c r="G230" s="266">
        <v>143443.12779606352</v>
      </c>
      <c r="H230" s="289">
        <f t="shared" si="26"/>
        <v>201.23212819942879</v>
      </c>
      <c r="I230" s="266">
        <f t="shared" si="27"/>
        <v>28865.3658819845</v>
      </c>
    </row>
    <row r="231" spans="3:9" ht="15.75" thickBot="1" x14ac:dyDescent="0.3">
      <c r="C231" s="272">
        <f t="shared" si="28"/>
        <v>2047</v>
      </c>
      <c r="D231" s="266">
        <v>160184.80779870515</v>
      </c>
      <c r="E231" s="289">
        <v>206.43212819942877</v>
      </c>
      <c r="F231" s="266">
        <f t="shared" si="25"/>
        <v>33067.290779103161</v>
      </c>
      <c r="G231" s="266">
        <v>143316.28012477321</v>
      </c>
      <c r="H231" s="289">
        <f t="shared" si="26"/>
        <v>206.43212819942877</v>
      </c>
      <c r="I231" s="266">
        <f t="shared" si="27"/>
        <v>29585.084711782431</v>
      </c>
    </row>
    <row r="232" spans="3:9" ht="15.75" thickBot="1" x14ac:dyDescent="0.3">
      <c r="C232" s="272">
        <f t="shared" si="28"/>
        <v>2048</v>
      </c>
      <c r="D232" s="266">
        <v>159663.2294643207</v>
      </c>
      <c r="E232" s="289">
        <v>211.63212819942876</v>
      </c>
      <c r="F232" s="266">
        <f t="shared" si="25"/>
        <v>33789.86904672793</v>
      </c>
      <c r="G232" s="266">
        <v>143193.10754292339</v>
      </c>
      <c r="H232" s="289">
        <f t="shared" si="26"/>
        <v>211.63212819942876</v>
      </c>
      <c r="I232" s="266">
        <f t="shared" si="27"/>
        <v>30304.262092798552</v>
      </c>
    </row>
    <row r="233" spans="3:9" ht="15.75" thickBot="1" x14ac:dyDescent="0.3">
      <c r="C233" s="272">
        <f t="shared" si="28"/>
        <v>2049</v>
      </c>
      <c r="D233" s="266">
        <v>159146.86691328019</v>
      </c>
      <c r="E233" s="289">
        <v>216.83212819942875</v>
      </c>
      <c r="F233" s="266">
        <f t="shared" si="25"/>
        <v>34508.153849077797</v>
      </c>
      <c r="G233" s="266">
        <v>143073.58533268323</v>
      </c>
      <c r="H233" s="289">
        <f t="shared" si="26"/>
        <v>216.83212819942875</v>
      </c>
      <c r="I233" s="266">
        <f t="shared" si="27"/>
        <v>31022.949996808278</v>
      </c>
    </row>
    <row r="234" spans="3:9" ht="15.75" thickBot="1" x14ac:dyDescent="0.3">
      <c r="C234" s="272">
        <f t="shared" si="28"/>
        <v>2050</v>
      </c>
      <c r="D234" s="266">
        <v>158635.66798775003</v>
      </c>
      <c r="E234" s="289">
        <v>222.03212819942874</v>
      </c>
      <c r="F234" s="266">
        <f t="shared" si="25"/>
        <v>35222.214971658126</v>
      </c>
      <c r="G234" s="266">
        <v>142957.68908356564</v>
      </c>
      <c r="H234" s="289">
        <f t="shared" si="26"/>
        <v>222.03212819942874</v>
      </c>
      <c r="I234" s="266">
        <f t="shared" si="27"/>
        <v>31741.199949696322</v>
      </c>
    </row>
    <row r="235" spans="3:9" ht="15.75" thickBot="1" x14ac:dyDescent="0.3">
      <c r="C235" s="272">
        <f t="shared" si="28"/>
        <v>2051</v>
      </c>
      <c r="D235" s="266">
        <v>158129.58105147519</v>
      </c>
      <c r="E235" s="289">
        <v>227.23212819942873</v>
      </c>
      <c r="F235" s="266">
        <f t="shared" si="25"/>
        <v>35932.121233610764</v>
      </c>
      <c r="G235" s="266">
        <v>142845.39468965449</v>
      </c>
      <c r="H235" s="289">
        <f t="shared" si="26"/>
        <v>227.23212819942873</v>
      </c>
      <c r="I235" s="266">
        <f t="shared" si="27"/>
        <v>32459.063038817567</v>
      </c>
    </row>
    <row r="236" spans="3:9" ht="15.75" thickBot="1" x14ac:dyDescent="0.3">
      <c r="C236" s="272">
        <f t="shared" si="28"/>
        <v>2052</v>
      </c>
      <c r="D236" s="266">
        <v>157628.55498456303</v>
      </c>
      <c r="E236" s="289">
        <v>232.43212819942872</v>
      </c>
      <c r="F236" s="266">
        <f t="shared" si="25"/>
        <v>36637.94050006265</v>
      </c>
      <c r="G236" s="266">
        <v>142736.6783468613</v>
      </c>
      <c r="H236" s="289">
        <f t="shared" si="26"/>
        <v>232.43212819942872</v>
      </c>
      <c r="I236" s="266">
        <f t="shared" si="27"/>
        <v>33176.589920278289</v>
      </c>
    </row>
    <row r="237" spans="3:9" ht="15.75" thickBot="1" x14ac:dyDescent="0.3">
      <c r="C237" s="272">
        <f>C236+1</f>
        <v>2053</v>
      </c>
      <c r="D237" s="266">
        <v>157132.53917832006</v>
      </c>
      <c r="E237" s="289">
        <v>237.63212819942871</v>
      </c>
      <c r="F237" s="266">
        <f t="shared" si="25"/>
        <v>37339.739694324307</v>
      </c>
      <c r="G237" s="266">
        <v>142631.51655021071</v>
      </c>
      <c r="H237" s="289">
        <f t="shared" si="26"/>
        <v>237.63212819942871</v>
      </c>
      <c r="I237" s="266">
        <f t="shared" si="27"/>
        <v>33893.830826138605</v>
      </c>
    </row>
    <row r="238" spans="3:9" ht="15.75" thickBot="1" x14ac:dyDescent="0.3"/>
    <row r="239" spans="3:9" ht="43.5" thickBot="1" x14ac:dyDescent="0.3">
      <c r="C239" s="242"/>
      <c r="D239" s="243" t="s">
        <v>555</v>
      </c>
      <c r="E239" s="243" t="s">
        <v>557</v>
      </c>
      <c r="F239" s="244" t="s">
        <v>562</v>
      </c>
    </row>
    <row r="240" spans="3:9" ht="54.75" thickBot="1" x14ac:dyDescent="0.3">
      <c r="C240" s="270">
        <v>1</v>
      </c>
      <c r="D240" s="291" t="s">
        <v>556</v>
      </c>
      <c r="E240" s="294">
        <f>'8.IRR+FG'!K74</f>
        <v>69091.763973100766</v>
      </c>
      <c r="F240" s="295">
        <f>E240/'8.IRR+FG'!$K$77</f>
        <v>0.77582478022860357</v>
      </c>
    </row>
    <row r="241" spans="3:6" ht="54.75" thickBot="1" x14ac:dyDescent="0.3">
      <c r="C241" s="292">
        <v>2</v>
      </c>
      <c r="D241" s="293" t="s">
        <v>559</v>
      </c>
      <c r="E241" s="294" t="e">
        <f>'8.IRR+FG'!#REF!</f>
        <v>#REF!</v>
      </c>
      <c r="F241" s="295" t="e">
        <f>E241/'8.IRR+FG'!$K$77</f>
        <v>#REF!</v>
      </c>
    </row>
    <row r="242" spans="3:6" ht="54.75" thickBot="1" x14ac:dyDescent="0.3">
      <c r="C242" s="270">
        <v>3</v>
      </c>
      <c r="D242" s="291" t="s">
        <v>560</v>
      </c>
      <c r="E242" s="294" t="e">
        <f>'8.IRR+FG'!#REF!</f>
        <v>#REF!</v>
      </c>
      <c r="F242" s="295" t="e">
        <f>E242/'8.IRR+FG'!$K$77</f>
        <v>#REF!</v>
      </c>
    </row>
    <row r="243" spans="3:6" ht="54.75" thickBot="1" x14ac:dyDescent="0.3">
      <c r="C243" s="292">
        <v>4</v>
      </c>
      <c r="D243" s="293" t="s">
        <v>561</v>
      </c>
      <c r="E243" s="294" t="e">
        <f>'8.IRR+FG'!#REF!</f>
        <v>#REF!</v>
      </c>
      <c r="F243" s="295" t="e">
        <f>E243/'8.IRR+FG'!$K$77</f>
        <v>#REF!</v>
      </c>
    </row>
  </sheetData>
  <mergeCells count="19">
    <mergeCell ref="B2:B3"/>
    <mergeCell ref="C2:E2"/>
    <mergeCell ref="B36:B37"/>
    <mergeCell ref="C36:E36"/>
    <mergeCell ref="C102:C103"/>
    <mergeCell ref="D102:D103"/>
    <mergeCell ref="C104:C105"/>
    <mergeCell ref="D206:F206"/>
    <mergeCell ref="G206:I206"/>
    <mergeCell ref="C206:C207"/>
    <mergeCell ref="D138:E138"/>
    <mergeCell ref="F138:G138"/>
    <mergeCell ref="H138:I138"/>
    <mergeCell ref="C172:C174"/>
    <mergeCell ref="D172:F172"/>
    <mergeCell ref="G172:I172"/>
    <mergeCell ref="D173:I173"/>
    <mergeCell ref="C106:C109"/>
    <mergeCell ref="C110:C13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25DA-07FF-408E-AA48-A775F1393096}">
  <dimension ref="B3:B4"/>
  <sheetViews>
    <sheetView workbookViewId="0"/>
  </sheetViews>
  <sheetFormatPr defaultRowHeight="15" x14ac:dyDescent="0.25"/>
  <sheetData>
    <row r="3" spans="2:2" x14ac:dyDescent="0.25">
      <c r="B3" t="s">
        <v>7</v>
      </c>
    </row>
    <row r="4" spans="2:2" x14ac:dyDescent="0.25">
      <c r="B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17</vt:i4>
      </vt:variant>
      <vt:variant>
        <vt:lpstr>Zone denumite</vt:lpstr>
      </vt:variant>
      <vt:variant>
        <vt:i4>22</vt:i4>
      </vt:variant>
    </vt:vector>
  </HeadingPairs>
  <TitlesOfParts>
    <vt:vector size="39" baseType="lpstr">
      <vt:lpstr>1.Input</vt:lpstr>
      <vt:lpstr>Liste</vt:lpstr>
      <vt:lpstr>2.BilantNOPRO</vt:lpstr>
      <vt:lpstr>3.BilantPRO</vt:lpstr>
      <vt:lpstr>DG TOTAL</vt:lpstr>
      <vt:lpstr>DG ETAPA I</vt:lpstr>
      <vt:lpstr>4.Investitie</vt:lpstr>
      <vt:lpstr>5.O&amp;M</vt:lpstr>
      <vt:lpstr>6.Venituri</vt:lpstr>
      <vt:lpstr>7.Beneficii economice</vt:lpstr>
      <vt:lpstr>8.IRR+FG</vt:lpstr>
      <vt:lpstr>9.Surse de finantare</vt:lpstr>
      <vt:lpstr>10.Sensitivitate</vt:lpstr>
      <vt:lpstr>11.Cererea de finantare</vt:lpstr>
      <vt:lpstr>12. Plan tarifar</vt:lpstr>
      <vt:lpstr>Tabele ACB</vt:lpstr>
      <vt:lpstr>Foaie2</vt:lpstr>
      <vt:lpstr>'4.Investitie'!BS</vt:lpstr>
      <vt:lpstr>'5.O&amp;M'!BS</vt:lpstr>
      <vt:lpstr>'8.IRR+FG'!BS</vt:lpstr>
      <vt:lpstr>BS</vt:lpstr>
      <vt:lpstr>COF</vt:lpstr>
      <vt:lpstr>'4.Investitie'!eur</vt:lpstr>
      <vt:lpstr>euro</vt:lpstr>
      <vt:lpstr>'4.Investitie'!FDR</vt:lpstr>
      <vt:lpstr>'DG ETAPA I'!Imprimare_titluri</vt:lpstr>
      <vt:lpstr>infl</vt:lpstr>
      <vt:lpstr>lim</vt:lpstr>
      <vt:lpstr>'11.Cererea de finantare'!Print_Area</vt:lpstr>
      <vt:lpstr>RAF</vt:lpstr>
      <vt:lpstr>RAS</vt:lpstr>
      <vt:lpstr>rca</vt:lpstr>
      <vt:lpstr>TVA</vt:lpstr>
      <vt:lpstr>tvat</vt:lpstr>
      <vt:lpstr>'4.Investitie'!UE</vt:lpstr>
      <vt:lpstr>'5.O&amp;M'!UE</vt:lpstr>
      <vt:lpstr>'7.Beneficii economice'!UE</vt:lpstr>
      <vt:lpstr>'8.IRR+FG'!UE</vt:lpstr>
      <vt:lpstr>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Alina Armasu</cp:lastModifiedBy>
  <cp:lastPrinted>2024-01-25T19:16:58Z</cp:lastPrinted>
  <dcterms:created xsi:type="dcterms:W3CDTF">2022-08-16T17:11:17Z</dcterms:created>
  <dcterms:modified xsi:type="dcterms:W3CDTF">2024-01-25T20:04:38Z</dcterms:modified>
</cp:coreProperties>
</file>