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TERMOFICARE Fondul de modernizare\SUCEAVA\TEHNIC\"/>
    </mc:Choice>
  </mc:AlternateContent>
  <xr:revisionPtr revIDLastSave="0" documentId="13_ncr:1_{B94C3D03-04C4-4C0C-86DD-0D3B7BABD4F5}" xr6:coauthVersionLast="47" xr6:coauthVersionMax="47" xr10:uidLastSave="{00000000-0000-0000-0000-000000000000}"/>
  <bookViews>
    <workbookView xWindow="-120" yWindow="-120" windowWidth="29040" windowHeight="15720" activeTab="1" xr2:uid="{544F1874-5E34-48FC-ACEC-AE4F53ABB790}"/>
  </bookViews>
  <sheets>
    <sheet name="Anexa 1" sheetId="1" r:id="rId1"/>
    <sheet name="Anexa 2" sheetId="2" r:id="rId2"/>
    <sheet name="Foaie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" i="2" l="1"/>
  <c r="AC5" i="2"/>
  <c r="AD5" i="2"/>
  <c r="AE5" i="2"/>
  <c r="AF5" i="2"/>
  <c r="AG5" i="2"/>
  <c r="AH5" i="2"/>
  <c r="AI5" i="2"/>
  <c r="AJ5" i="2"/>
  <c r="AK5" i="2"/>
  <c r="AL5" i="2"/>
  <c r="AB6" i="2"/>
  <c r="AC6" i="2"/>
  <c r="AD6" i="2"/>
  <c r="AE6" i="2"/>
  <c r="AF6" i="2"/>
  <c r="AG6" i="2"/>
  <c r="AH6" i="2"/>
  <c r="AI6" i="2"/>
  <c r="AJ6" i="2"/>
  <c r="AK6" i="2"/>
  <c r="AL6" i="2"/>
  <c r="AC7" i="2"/>
  <c r="AG7" i="2"/>
  <c r="AK7" i="2"/>
  <c r="AB8" i="2"/>
  <c r="AB7" i="2" s="1"/>
  <c r="AC8" i="2"/>
  <c r="AD8" i="2"/>
  <c r="AD7" i="2" s="1"/>
  <c r="AE8" i="2"/>
  <c r="AE7" i="2" s="1"/>
  <c r="AF8" i="2"/>
  <c r="AF7" i="2" s="1"/>
  <c r="AG8" i="2"/>
  <c r="AH8" i="2"/>
  <c r="AH7" i="2" s="1"/>
  <c r="AI8" i="2"/>
  <c r="AI7" i="2" s="1"/>
  <c r="AJ8" i="2"/>
  <c r="AJ7" i="2" s="1"/>
  <c r="AK8" i="2"/>
  <c r="AL8" i="2"/>
  <c r="AL7" i="2" s="1"/>
  <c r="AB15" i="2"/>
  <c r="AC15" i="2"/>
  <c r="AD15" i="2"/>
  <c r="AE15" i="2"/>
  <c r="AF15" i="2"/>
  <c r="AG15" i="2"/>
  <c r="AH15" i="2"/>
  <c r="AI15" i="2"/>
  <c r="AJ15" i="2"/>
  <c r="AK15" i="2"/>
  <c r="AL15" i="2"/>
  <c r="AB35" i="2"/>
  <c r="AC35" i="2" s="1"/>
  <c r="AD35" i="2" s="1"/>
  <c r="AE35" i="2"/>
  <c r="AB49" i="2"/>
  <c r="AB50" i="2"/>
  <c r="AB51" i="2" s="1"/>
  <c r="AB16" i="2" s="1"/>
  <c r="AB52" i="2"/>
  <c r="AB54" i="2"/>
  <c r="AB59" i="2" s="1"/>
  <c r="AC54" i="2"/>
  <c r="AC59" i="2" s="1"/>
  <c r="AD54" i="2"/>
  <c r="AE54" i="2"/>
  <c r="AF54" i="2"/>
  <c r="AF59" i="2" s="1"/>
  <c r="AG54" i="2"/>
  <c r="AG59" i="2" s="1"/>
  <c r="AH54" i="2"/>
  <c r="AI54" i="2"/>
  <c r="AJ54" i="2"/>
  <c r="AK54" i="2"/>
  <c r="AK59" i="2" s="1"/>
  <c r="AL54" i="2"/>
  <c r="AD59" i="2"/>
  <c r="AE59" i="2"/>
  <c r="AH59" i="2"/>
  <c r="AI59" i="2"/>
  <c r="AJ59" i="2"/>
  <c r="AL59" i="2"/>
  <c r="H4" i="2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AG4" i="2" s="1"/>
  <c r="AH4" i="2" s="1"/>
  <c r="AI4" i="2" s="1"/>
  <c r="AJ4" i="2" s="1"/>
  <c r="AK4" i="2" s="1"/>
  <c r="AL4" i="2" s="1"/>
  <c r="AB17" i="2" l="1"/>
  <c r="AB18" i="2" s="1"/>
  <c r="AF35" i="2"/>
  <c r="AB57" i="2"/>
  <c r="AC49" i="2"/>
  <c r="AB32" i="2"/>
  <c r="AD49" i="2" l="1"/>
  <c r="AC50" i="2"/>
  <c r="AC51" i="2" s="1"/>
  <c r="AC32" i="2"/>
  <c r="AB31" i="2"/>
  <c r="AG35" i="2"/>
  <c r="AB10" i="2" l="1"/>
  <c r="AB36" i="2"/>
  <c r="AC52" i="2"/>
  <c r="AC16" i="2"/>
  <c r="AB33" i="2"/>
  <c r="AB46" i="2" s="1"/>
  <c r="AD32" i="2"/>
  <c r="AD50" i="2"/>
  <c r="AD51" i="2" s="1"/>
  <c r="AE49" i="2"/>
  <c r="AH35" i="2"/>
  <c r="AC31" i="2"/>
  <c r="AC33" i="2"/>
  <c r="AC46" i="2" s="1"/>
  <c r="AC40" i="2" l="1"/>
  <c r="AC29" i="2"/>
  <c r="AE50" i="2"/>
  <c r="AE51" i="2" s="1"/>
  <c r="AF49" i="2"/>
  <c r="AE32" i="2"/>
  <c r="AC17" i="2"/>
  <c r="AC18" i="2" s="1"/>
  <c r="AC57" i="2"/>
  <c r="AC36" i="2"/>
  <c r="AC10" i="2"/>
  <c r="AD16" i="2"/>
  <c r="AD52" i="2"/>
  <c r="AD31" i="2"/>
  <c r="AD33" i="2"/>
  <c r="AD46" i="2" s="1"/>
  <c r="AB38" i="2"/>
  <c r="AB19" i="2"/>
  <c r="AB20" i="2" s="1"/>
  <c r="AI35" i="2"/>
  <c r="AB29" i="2"/>
  <c r="AB40" i="2"/>
  <c r="AB11" i="2"/>
  <c r="AC11" i="2" l="1"/>
  <c r="AB12" i="2"/>
  <c r="AJ35" i="2"/>
  <c r="AD40" i="2"/>
  <c r="AD29" i="2"/>
  <c r="AD36" i="2"/>
  <c r="AD10" i="2"/>
  <c r="AC19" i="2"/>
  <c r="AC20" i="2" s="1"/>
  <c r="AC38" i="2"/>
  <c r="AE33" i="2"/>
  <c r="AE46" i="2" s="1"/>
  <c r="AE31" i="2"/>
  <c r="AC23" i="2"/>
  <c r="AC41" i="2"/>
  <c r="AC24" i="2" s="1"/>
  <c r="AB41" i="2"/>
  <c r="AB24" i="2" s="1"/>
  <c r="AB23" i="2"/>
  <c r="AB28" i="2"/>
  <c r="AG49" i="2"/>
  <c r="AF32" i="2"/>
  <c r="AF50" i="2"/>
  <c r="AF51" i="2" s="1"/>
  <c r="AB39" i="2"/>
  <c r="AB37" i="2" s="1"/>
  <c r="AB21" i="2"/>
  <c r="AD57" i="2"/>
  <c r="AD17" i="2"/>
  <c r="AD18" i="2" s="1"/>
  <c r="AD28" i="2"/>
  <c r="AC28" i="2"/>
  <c r="AE16" i="2"/>
  <c r="AE52" i="2"/>
  <c r="AE40" i="2" l="1"/>
  <c r="AE29" i="2"/>
  <c r="AC39" i="2"/>
  <c r="AC37" i="2" s="1"/>
  <c r="AC21" i="2"/>
  <c r="AK35" i="2"/>
  <c r="AF16" i="2"/>
  <c r="AF52" i="2"/>
  <c r="AC12" i="2"/>
  <c r="AB14" i="2"/>
  <c r="AB22" i="2"/>
  <c r="AB58" i="2"/>
  <c r="AB60" i="2" s="1"/>
  <c r="AH49" i="2"/>
  <c r="AG32" i="2"/>
  <c r="AG50" i="2"/>
  <c r="AG51" i="2" s="1"/>
  <c r="AD19" i="2"/>
  <c r="AD20" i="2" s="1"/>
  <c r="AD38" i="2"/>
  <c r="AD11" i="2"/>
  <c r="AE17" i="2"/>
  <c r="AE18" i="2" s="1"/>
  <c r="AE28" i="2"/>
  <c r="AE57" i="2"/>
  <c r="AF31" i="2"/>
  <c r="AF33" i="2" s="1"/>
  <c r="AF46" i="2" s="1"/>
  <c r="AE36" i="2"/>
  <c r="AE10" i="2"/>
  <c r="AD23" i="2"/>
  <c r="AD41" i="2"/>
  <c r="AD24" i="2" s="1"/>
  <c r="AB13" i="2"/>
  <c r="AF29" i="2" l="1"/>
  <c r="AF40" i="2"/>
  <c r="AD12" i="2"/>
  <c r="AC14" i="2"/>
  <c r="AE41" i="2"/>
  <c r="AE24" i="2" s="1"/>
  <c r="AE23" i="2"/>
  <c r="AC13" i="2"/>
  <c r="AG16" i="2"/>
  <c r="AG52" i="2"/>
  <c r="AF17" i="2"/>
  <c r="AF18" i="2" s="1"/>
  <c r="AF28" i="2"/>
  <c r="AF57" i="2"/>
  <c r="AF10" i="2"/>
  <c r="AF36" i="2"/>
  <c r="AD39" i="2"/>
  <c r="AD37" i="2" s="1"/>
  <c r="AD21" i="2"/>
  <c r="AH32" i="2"/>
  <c r="AH50" i="2"/>
  <c r="AH51" i="2" s="1"/>
  <c r="AI49" i="2"/>
  <c r="AL35" i="2"/>
  <c r="AC22" i="2"/>
  <c r="AC58" i="2"/>
  <c r="AC60" i="2" s="1"/>
  <c r="AE38" i="2"/>
  <c r="AE19" i="2"/>
  <c r="AE20" i="2" s="1"/>
  <c r="AE11" i="2"/>
  <c r="AD13" i="2"/>
  <c r="AG31" i="2"/>
  <c r="AG33" i="2"/>
  <c r="AG46" i="2" s="1"/>
  <c r="AH31" i="2" l="1"/>
  <c r="AH33" i="2"/>
  <c r="AH46" i="2" s="1"/>
  <c r="AD22" i="2"/>
  <c r="AD58" i="2"/>
  <c r="AD60" i="2" s="1"/>
  <c r="AG17" i="2"/>
  <c r="AG18" i="2" s="1"/>
  <c r="AG57" i="2"/>
  <c r="AE12" i="2"/>
  <c r="AD14" i="2"/>
  <c r="AE21" i="2"/>
  <c r="AE39" i="2"/>
  <c r="AE37" i="2" s="1"/>
  <c r="AF11" i="2"/>
  <c r="AG40" i="2"/>
  <c r="AG28" i="2" s="1"/>
  <c r="AG29" i="2"/>
  <c r="AI50" i="2"/>
  <c r="AI51" i="2" s="1"/>
  <c r="AJ49" i="2"/>
  <c r="AI32" i="2"/>
  <c r="AG36" i="2"/>
  <c r="AG10" i="2"/>
  <c r="AH16" i="2"/>
  <c r="AH52" i="2"/>
  <c r="AF38" i="2"/>
  <c r="AF19" i="2"/>
  <c r="AF20" i="2" s="1"/>
  <c r="AF41" i="2"/>
  <c r="AF24" i="2" s="1"/>
  <c r="AF23" i="2"/>
  <c r="AH57" i="2" l="1"/>
  <c r="AH28" i="2"/>
  <c r="AH17" i="2"/>
  <c r="AH18" i="2" s="1"/>
  <c r="AI16" i="2"/>
  <c r="AI52" i="2"/>
  <c r="AK49" i="2"/>
  <c r="AJ32" i="2"/>
  <c r="AJ50" i="2"/>
  <c r="AJ51" i="2" s="1"/>
  <c r="AG19" i="2"/>
  <c r="AG20" i="2" s="1"/>
  <c r="AG38" i="2"/>
  <c r="AG11" i="2"/>
  <c r="AF13" i="2"/>
  <c r="AE22" i="2"/>
  <c r="AE58" i="2"/>
  <c r="AE60" i="2" s="1"/>
  <c r="AH40" i="2"/>
  <c r="AH29" i="2"/>
  <c r="AF12" i="2"/>
  <c r="AE14" i="2"/>
  <c r="AF39" i="2"/>
  <c r="AF37" i="2" s="1"/>
  <c r="AF21" i="2"/>
  <c r="AI31" i="2"/>
  <c r="AI33" i="2" s="1"/>
  <c r="AI46" i="2" s="1"/>
  <c r="AG23" i="2"/>
  <c r="AG41" i="2"/>
  <c r="AG24" i="2" s="1"/>
  <c r="AE13" i="2"/>
  <c r="AH36" i="2"/>
  <c r="AH10" i="2"/>
  <c r="AI40" i="2" l="1"/>
  <c r="AI29" i="2"/>
  <c r="AI17" i="2"/>
  <c r="AI18" i="2" s="1"/>
  <c r="AI28" i="2"/>
  <c r="AI57" i="2"/>
  <c r="AG12" i="2"/>
  <c r="AF14" i="2"/>
  <c r="AL49" i="2"/>
  <c r="AK50" i="2"/>
  <c r="AK51" i="2" s="1"/>
  <c r="AK32" i="2"/>
  <c r="AH19" i="2"/>
  <c r="AH20" i="2" s="1"/>
  <c r="AH38" i="2"/>
  <c r="AI36" i="2"/>
  <c r="AI10" i="2"/>
  <c r="AG39" i="2"/>
  <c r="AG37" i="2" s="1"/>
  <c r="AG21" i="2"/>
  <c r="AJ31" i="2"/>
  <c r="AF22" i="2"/>
  <c r="AF58" i="2"/>
  <c r="AF60" i="2" s="1"/>
  <c r="AH23" i="2"/>
  <c r="AH41" i="2"/>
  <c r="AH24" i="2" s="1"/>
  <c r="AH11" i="2"/>
  <c r="AG13" i="2"/>
  <c r="AJ16" i="2"/>
  <c r="AJ52" i="2"/>
  <c r="AI11" i="2" l="1"/>
  <c r="AH39" i="2"/>
  <c r="AH37" i="2" s="1"/>
  <c r="AH21" i="2"/>
  <c r="AL32" i="2"/>
  <c r="AL50" i="2"/>
  <c r="AL51" i="2" s="1"/>
  <c r="AK31" i="2"/>
  <c r="AH12" i="2"/>
  <c r="AG14" i="2"/>
  <c r="AG22" i="2"/>
  <c r="AG58" i="2"/>
  <c r="AG60" i="2" s="1"/>
  <c r="AJ17" i="2"/>
  <c r="AJ18" i="2" s="1"/>
  <c r="AJ57" i="2"/>
  <c r="AJ10" i="2"/>
  <c r="AJ36" i="2"/>
  <c r="AJ33" i="2"/>
  <c r="AJ46" i="2" s="1"/>
  <c r="AI38" i="2"/>
  <c r="AI19" i="2"/>
  <c r="AI20" i="2" s="1"/>
  <c r="AK16" i="2"/>
  <c r="AK52" i="2"/>
  <c r="AI41" i="2"/>
  <c r="AI24" i="2" s="1"/>
  <c r="AI23" i="2"/>
  <c r="AI21" i="2" l="1"/>
  <c r="AI39" i="2"/>
  <c r="AI37" i="2" s="1"/>
  <c r="AK36" i="2"/>
  <c r="AK10" i="2"/>
  <c r="AH22" i="2"/>
  <c r="AH58" i="2"/>
  <c r="AH60" i="2" s="1"/>
  <c r="AJ38" i="2"/>
  <c r="AJ19" i="2"/>
  <c r="AJ20" i="2" s="1"/>
  <c r="AI12" i="2"/>
  <c r="AH14" i="2"/>
  <c r="AL16" i="2"/>
  <c r="AL52" i="2"/>
  <c r="AH13" i="2"/>
  <c r="AJ29" i="2"/>
  <c r="AJ40" i="2"/>
  <c r="AK17" i="2"/>
  <c r="AK18" i="2" s="1"/>
  <c r="AK57" i="2"/>
  <c r="AK33" i="2"/>
  <c r="AK46" i="2" s="1"/>
  <c r="AL31" i="2"/>
  <c r="AL33" i="2"/>
  <c r="AL46" i="2" s="1"/>
  <c r="AI13" i="2"/>
  <c r="AJ11" i="2"/>
  <c r="AL17" i="2" l="1"/>
  <c r="AL18" i="2" s="1"/>
  <c r="AL57" i="2"/>
  <c r="AJ39" i="2"/>
  <c r="AJ37" i="2" s="1"/>
  <c r="AJ21" i="2"/>
  <c r="AK19" i="2"/>
  <c r="AK20" i="2" s="1"/>
  <c r="AK38" i="2"/>
  <c r="AJ41" i="2"/>
  <c r="AJ24" i="2" s="1"/>
  <c r="AJ23" i="2"/>
  <c r="AJ28" i="2"/>
  <c r="AL40" i="2"/>
  <c r="AL28" i="2" s="1"/>
  <c r="AL29" i="2"/>
  <c r="AL36" i="2"/>
  <c r="AL10" i="2"/>
  <c r="AK11" i="2"/>
  <c r="AJ13" i="2"/>
  <c r="AK40" i="2"/>
  <c r="AK29" i="2"/>
  <c r="AJ12" i="2"/>
  <c r="AI14" i="2"/>
  <c r="AI58" i="2"/>
  <c r="AI60" i="2" s="1"/>
  <c r="AI22" i="2"/>
  <c r="AK39" i="2" l="1"/>
  <c r="AK37" i="2" s="1"/>
  <c r="AK21" i="2"/>
  <c r="AL19" i="2"/>
  <c r="AL20" i="2" s="1"/>
  <c r="AL38" i="2"/>
  <c r="AK23" i="2"/>
  <c r="AK41" i="2"/>
  <c r="AK24" i="2" s="1"/>
  <c r="AK28" i="2"/>
  <c r="AJ22" i="2"/>
  <c r="AJ58" i="2"/>
  <c r="AJ60" i="2" s="1"/>
  <c r="AK12" i="2"/>
  <c r="AJ14" i="2"/>
  <c r="AL11" i="2"/>
  <c r="AL23" i="2"/>
  <c r="AL41" i="2"/>
  <c r="AL24" i="2" s="1"/>
  <c r="AK22" i="2" l="1"/>
  <c r="AK58" i="2"/>
  <c r="AK60" i="2" s="1"/>
  <c r="AL12" i="2"/>
  <c r="AL14" i="2" s="1"/>
  <c r="AK14" i="2"/>
  <c r="AL39" i="2"/>
  <c r="AL37" i="2" s="1"/>
  <c r="AL21" i="2"/>
  <c r="AK13" i="2"/>
  <c r="AL22" i="2" l="1"/>
  <c r="AL58" i="2"/>
  <c r="AL60" i="2" s="1"/>
  <c r="AL13" i="2"/>
  <c r="AC6" i="1" l="1"/>
  <c r="AC17" i="1" s="1"/>
  <c r="AC19" i="1" s="1"/>
  <c r="AC29" i="1" s="1"/>
  <c r="AD6" i="1" s="1"/>
  <c r="AD17" i="1" s="1"/>
  <c r="AC15" i="1"/>
  <c r="AD15" i="1"/>
  <c r="AE15" i="1" s="1"/>
  <c r="AF15" i="1" s="1"/>
  <c r="AG15" i="1" s="1"/>
  <c r="AH15" i="1"/>
  <c r="AI15" i="1" s="1"/>
  <c r="AJ15" i="1" s="1"/>
  <c r="AK15" i="1" s="1"/>
  <c r="AL15" i="1" s="1"/>
  <c r="AM15" i="1" s="1"/>
  <c r="AC21" i="1"/>
  <c r="AD21" i="1" s="1"/>
  <c r="AE21" i="1" s="1"/>
  <c r="AF21" i="1" s="1"/>
  <c r="AG21" i="1" s="1"/>
  <c r="AH21" i="1" s="1"/>
  <c r="AI21" i="1" s="1"/>
  <c r="AJ21" i="1" s="1"/>
  <c r="AK21" i="1" s="1"/>
  <c r="AL21" i="1" s="1"/>
  <c r="AM21" i="1" s="1"/>
  <c r="AC31" i="1"/>
  <c r="AD31" i="1"/>
  <c r="AD33" i="1" s="1"/>
  <c r="AE31" i="1"/>
  <c r="AC32" i="1"/>
  <c r="AD32" i="1"/>
  <c r="AE32" i="1"/>
  <c r="AF32" i="1" s="1"/>
  <c r="AG32" i="1" s="1"/>
  <c r="AH32" i="1" s="1"/>
  <c r="AI32" i="1" s="1"/>
  <c r="AJ32" i="1" s="1"/>
  <c r="AK32" i="1" s="1"/>
  <c r="AL32" i="1" s="1"/>
  <c r="AM32" i="1" s="1"/>
  <c r="AC33" i="1"/>
  <c r="AC34" i="1"/>
  <c r="AC10" i="1" s="1"/>
  <c r="AC7" i="1" s="1"/>
  <c r="AD34" i="1"/>
  <c r="AD10" i="1" s="1"/>
  <c r="I5" i="1"/>
  <c r="J5" i="1"/>
  <c r="K5" i="1"/>
  <c r="L5" i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H5" i="1"/>
  <c r="AD19" i="1" l="1"/>
  <c r="AC14" i="1"/>
  <c r="AF31" i="1"/>
  <c r="AE33" i="1"/>
  <c r="AE34" i="1"/>
  <c r="AE10" i="1" s="1"/>
  <c r="AD29" i="1"/>
  <c r="AE6" i="1" s="1"/>
  <c r="AE17" i="1" s="1"/>
  <c r="AE19" i="1" s="1"/>
  <c r="G46" i="2"/>
  <c r="AE29" i="1" l="1"/>
  <c r="AF6" i="1" s="1"/>
  <c r="AF17" i="1" s="1"/>
  <c r="AF19" i="1" s="1"/>
  <c r="AG31" i="1"/>
  <c r="AF33" i="1"/>
  <c r="AF34" i="1" s="1"/>
  <c r="AF10" i="1" s="1"/>
  <c r="AD14" i="1"/>
  <c r="AC8" i="1"/>
  <c r="AC16" i="1" s="1"/>
  <c r="AC18" i="1" s="1"/>
  <c r="H50" i="2"/>
  <c r="AH31" i="1" l="1"/>
  <c r="AG33" i="1"/>
  <c r="AG34" i="1"/>
  <c r="AG10" i="1" s="1"/>
  <c r="AC20" i="1"/>
  <c r="AC22" i="1" s="1"/>
  <c r="AC23" i="1" s="1"/>
  <c r="AC25" i="1"/>
  <c r="AE14" i="1"/>
  <c r="AF29" i="1"/>
  <c r="AG6" i="1" s="1"/>
  <c r="AG17" i="1" s="1"/>
  <c r="AG19" i="1" s="1"/>
  <c r="G12" i="2"/>
  <c r="G11" i="2" s="1"/>
  <c r="G31" i="2"/>
  <c r="J9" i="1"/>
  <c r="I9" i="1"/>
  <c r="J8" i="1"/>
  <c r="J7" i="1"/>
  <c r="O31" i="1"/>
  <c r="P31" i="1" s="1"/>
  <c r="Q31" i="1" s="1"/>
  <c r="R31" i="1" s="1"/>
  <c r="S31" i="1" s="1"/>
  <c r="T31" i="1" s="1"/>
  <c r="U31" i="1" s="1"/>
  <c r="V31" i="1" s="1"/>
  <c r="W31" i="1" s="1"/>
  <c r="X31" i="1" s="1"/>
  <c r="Y31" i="1" s="1"/>
  <c r="Z31" i="1" s="1"/>
  <c r="AA31" i="1" s="1"/>
  <c r="AB31" i="1" s="1"/>
  <c r="O32" i="1"/>
  <c r="P32" i="1" s="1"/>
  <c r="Q32" i="1" s="1"/>
  <c r="R32" i="1" s="1"/>
  <c r="S32" i="1" s="1"/>
  <c r="T32" i="1" s="1"/>
  <c r="U32" i="1" s="1"/>
  <c r="V32" i="1" s="1"/>
  <c r="W32" i="1" s="1"/>
  <c r="X32" i="1" s="1"/>
  <c r="Y32" i="1" s="1"/>
  <c r="Z32" i="1" s="1"/>
  <c r="AA32" i="1" s="1"/>
  <c r="AB32" i="1" s="1"/>
  <c r="I32" i="1"/>
  <c r="J32" i="1" s="1"/>
  <c r="K32" i="1" s="1"/>
  <c r="L32" i="1" s="1"/>
  <c r="M32" i="1" s="1"/>
  <c r="H32" i="1"/>
  <c r="I31" i="1"/>
  <c r="J31" i="1" s="1"/>
  <c r="K31" i="1" s="1"/>
  <c r="L31" i="1" s="1"/>
  <c r="M31" i="1" s="1"/>
  <c r="H31" i="1"/>
  <c r="H39" i="1"/>
  <c r="H37" i="1"/>
  <c r="H19" i="1"/>
  <c r="H18" i="1"/>
  <c r="H21" i="1"/>
  <c r="AG29" i="1" l="1"/>
  <c r="AH6" i="1" s="1"/>
  <c r="AH17" i="1" s="1"/>
  <c r="AH19" i="1"/>
  <c r="AF14" i="1"/>
  <c r="AC26" i="1"/>
  <c r="AC27" i="1" s="1"/>
  <c r="AD7" i="1"/>
  <c r="AH34" i="1"/>
  <c r="AH10" i="1" s="1"/>
  <c r="AH33" i="1"/>
  <c r="AI31" i="1"/>
  <c r="H33" i="1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D54" i="2"/>
  <c r="E16" i="2"/>
  <c r="E17" i="2" s="1"/>
  <c r="F16" i="2"/>
  <c r="F17" i="2" s="1"/>
  <c r="D15" i="2"/>
  <c r="E10" i="2"/>
  <c r="F10" i="2"/>
  <c r="AG14" i="1" l="1"/>
  <c r="AD16" i="1"/>
  <c r="AD18" i="1" s="1"/>
  <c r="AH29" i="1"/>
  <c r="AI6" i="1" s="1"/>
  <c r="AI17" i="1" s="1"/>
  <c r="AI19" i="1" s="1"/>
  <c r="AJ31" i="1"/>
  <c r="AI33" i="1"/>
  <c r="AI34" i="1"/>
  <c r="AI10" i="1" s="1"/>
  <c r="C71" i="2"/>
  <c r="F57" i="2"/>
  <c r="G31" i="1"/>
  <c r="G15" i="1"/>
  <c r="E24" i="2"/>
  <c r="F18" i="2"/>
  <c r="G21" i="1"/>
  <c r="G19" i="1"/>
  <c r="G18" i="1"/>
  <c r="AI29" i="1" l="1"/>
  <c r="AJ6" i="1" s="1"/>
  <c r="AJ17" i="1" s="1"/>
  <c r="AJ19" i="1"/>
  <c r="AJ34" i="1"/>
  <c r="AJ10" i="1" s="1"/>
  <c r="AD25" i="1"/>
  <c r="AD20" i="1"/>
  <c r="AD22" i="1" s="1"/>
  <c r="AD23" i="1" s="1"/>
  <c r="AK31" i="1"/>
  <c r="AJ33" i="1"/>
  <c r="AH14" i="1"/>
  <c r="G32" i="1"/>
  <c r="AL31" i="1" l="1"/>
  <c r="AK33" i="1"/>
  <c r="AI14" i="1"/>
  <c r="AJ29" i="1"/>
  <c r="AK6" i="1" s="1"/>
  <c r="AK17" i="1" s="1"/>
  <c r="AK19" i="1" s="1"/>
  <c r="AK34" i="1"/>
  <c r="AK10" i="1" s="1"/>
  <c r="AD26" i="1"/>
  <c r="AD27" i="1" s="1"/>
  <c r="AE7" i="1"/>
  <c r="N31" i="1"/>
  <c r="N32" i="1"/>
  <c r="G33" i="1"/>
  <c r="Z59" i="2"/>
  <c r="Y59" i="2"/>
  <c r="X59" i="2"/>
  <c r="E15" i="2"/>
  <c r="D24" i="2"/>
  <c r="D10" i="2"/>
  <c r="D40" i="2"/>
  <c r="D34" i="2"/>
  <c r="D49" i="2"/>
  <c r="D50" i="2" s="1"/>
  <c r="AK29" i="1" l="1"/>
  <c r="AL6" i="1" s="1"/>
  <c r="AL17" i="1" s="1"/>
  <c r="AL19" i="1" s="1"/>
  <c r="AJ14" i="1"/>
  <c r="AE16" i="1"/>
  <c r="AE18" i="1" s="1"/>
  <c r="AL33" i="1"/>
  <c r="AM34" i="1" s="1"/>
  <c r="AM10" i="1" s="1"/>
  <c r="AM31" i="1"/>
  <c r="AM33" i="1" s="1"/>
  <c r="I33" i="1"/>
  <c r="D23" i="2"/>
  <c r="C70" i="2"/>
  <c r="E40" i="2" s="1"/>
  <c r="E49" i="2"/>
  <c r="AL29" i="1" l="1"/>
  <c r="AM6" i="1" s="1"/>
  <c r="AM17" i="1" s="1"/>
  <c r="AM19" i="1" s="1"/>
  <c r="AM29" i="1" s="1"/>
  <c r="AE20" i="1"/>
  <c r="AE22" i="1" s="1"/>
  <c r="AE23" i="1" s="1"/>
  <c r="AE25" i="1"/>
  <c r="AL34" i="1"/>
  <c r="AL10" i="1" s="1"/>
  <c r="AK14" i="1"/>
  <c r="J33" i="1"/>
  <c r="E50" i="2"/>
  <c r="F49" i="2"/>
  <c r="AE26" i="1" l="1"/>
  <c r="AE27" i="1" s="1"/>
  <c r="AF7" i="1"/>
  <c r="AL14" i="1"/>
  <c r="K33" i="1"/>
  <c r="F50" i="2"/>
  <c r="F19" i="1"/>
  <c r="E19" i="1"/>
  <c r="D19" i="1"/>
  <c r="E18" i="1"/>
  <c r="D18" i="1"/>
  <c r="D21" i="1"/>
  <c r="D15" i="1"/>
  <c r="E15" i="1"/>
  <c r="F15" i="1"/>
  <c r="E33" i="1"/>
  <c r="E14" i="1" s="1"/>
  <c r="F33" i="1"/>
  <c r="F14" i="1" s="1"/>
  <c r="D33" i="1"/>
  <c r="AF16" i="1" l="1"/>
  <c r="AF18" i="1" s="1"/>
  <c r="AM14" i="1"/>
  <c r="L33" i="1"/>
  <c r="G50" i="2"/>
  <c r="G51" i="2" s="1"/>
  <c r="G17" i="2" s="1"/>
  <c r="D14" i="1"/>
  <c r="E34" i="1"/>
  <c r="D20" i="1"/>
  <c r="D22" i="1" s="1"/>
  <c r="F34" i="1"/>
  <c r="F21" i="1"/>
  <c r="I21" i="1" s="1"/>
  <c r="J21" i="1" s="1"/>
  <c r="K21" i="1" s="1"/>
  <c r="L21" i="1" s="1"/>
  <c r="E21" i="1"/>
  <c r="F18" i="1"/>
  <c r="AF20" i="1" l="1"/>
  <c r="AF22" i="1" s="1"/>
  <c r="AF23" i="1" s="1"/>
  <c r="AF25" i="1"/>
  <c r="M33" i="1"/>
  <c r="M21" i="1"/>
  <c r="N21" i="1" s="1"/>
  <c r="O21" i="1" s="1"/>
  <c r="P21" i="1" s="1"/>
  <c r="I49" i="2"/>
  <c r="I50" i="2" s="1"/>
  <c r="H51" i="2"/>
  <c r="I15" i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E25" i="1"/>
  <c r="AF26" i="1" l="1"/>
  <c r="AF27" i="1" s="1"/>
  <c r="AG7" i="1"/>
  <c r="H16" i="2"/>
  <c r="N33" i="1"/>
  <c r="Q21" i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A8" i="2" s="1"/>
  <c r="J49" i="2"/>
  <c r="J50" i="2" s="1"/>
  <c r="AG16" i="1" l="1"/>
  <c r="AG18" i="1" s="1"/>
  <c r="H17" i="2"/>
  <c r="H35" i="2"/>
  <c r="I35" i="2" s="1"/>
  <c r="J35" i="2" s="1"/>
  <c r="K35" i="2" s="1"/>
  <c r="L35" i="2" s="1"/>
  <c r="M35" i="2" s="1"/>
  <c r="N35" i="2" s="1"/>
  <c r="O35" i="2" s="1"/>
  <c r="P35" i="2" s="1"/>
  <c r="Q35" i="2" s="1"/>
  <c r="R35" i="2" s="1"/>
  <c r="S35" i="2" s="1"/>
  <c r="T35" i="2" s="1"/>
  <c r="U35" i="2" s="1"/>
  <c r="V35" i="2" s="1"/>
  <c r="W35" i="2" s="1"/>
  <c r="X35" i="2" s="1"/>
  <c r="Y35" i="2" s="1"/>
  <c r="Z35" i="2" s="1"/>
  <c r="AA35" i="2" s="1"/>
  <c r="O33" i="1"/>
  <c r="X8" i="2"/>
  <c r="W8" i="2"/>
  <c r="Z8" i="2"/>
  <c r="Y8" i="2"/>
  <c r="K49" i="2"/>
  <c r="K50" i="2" s="1"/>
  <c r="E26" i="1"/>
  <c r="E27" i="1" s="1"/>
  <c r="E20" i="1"/>
  <c r="E29" i="1"/>
  <c r="G8" i="2"/>
  <c r="H8" i="2"/>
  <c r="F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E8" i="2"/>
  <c r="D8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AA59" i="2"/>
  <c r="AG20" i="1" l="1"/>
  <c r="AG22" i="1" s="1"/>
  <c r="AG23" i="1" s="1"/>
  <c r="AG25" i="1"/>
  <c r="O34" i="1"/>
  <c r="P33" i="1"/>
  <c r="L49" i="2"/>
  <c r="L50" i="2" s="1"/>
  <c r="M34" i="1"/>
  <c r="M10" i="1" s="1"/>
  <c r="N34" i="1"/>
  <c r="N10" i="1" s="1"/>
  <c r="E22" i="1"/>
  <c r="D6" i="2"/>
  <c r="G34" i="1"/>
  <c r="L34" i="1"/>
  <c r="L10" i="1" s="1"/>
  <c r="K34" i="1"/>
  <c r="K10" i="1" s="1"/>
  <c r="F10" i="1"/>
  <c r="F25" i="1" s="1"/>
  <c r="J34" i="1"/>
  <c r="J10" i="1" s="1"/>
  <c r="O10" i="1"/>
  <c r="AG26" i="1" l="1"/>
  <c r="AG27" i="1" s="1"/>
  <c r="AH7" i="1"/>
  <c r="P34" i="1"/>
  <c r="P10" i="1" s="1"/>
  <c r="Q33" i="1"/>
  <c r="G10" i="1"/>
  <c r="G14" i="1" s="1"/>
  <c r="M49" i="2"/>
  <c r="M50" i="2" s="1"/>
  <c r="D5" i="2"/>
  <c r="D32" i="2" s="1"/>
  <c r="D33" i="2" s="1"/>
  <c r="E23" i="1"/>
  <c r="F29" i="1"/>
  <c r="D51" i="2"/>
  <c r="F20" i="1"/>
  <c r="I34" i="1"/>
  <c r="I10" i="1" s="1"/>
  <c r="H34" i="1"/>
  <c r="AH16" i="1" l="1"/>
  <c r="AH18" i="1" s="1"/>
  <c r="AH20" i="1"/>
  <c r="AH22" i="1" s="1"/>
  <c r="AH23" i="1" s="1"/>
  <c r="AH25" i="1"/>
  <c r="H10" i="1"/>
  <c r="H35" i="1"/>
  <c r="F22" i="1"/>
  <c r="E6" i="2"/>
  <c r="Q34" i="1"/>
  <c r="Q10" i="1" s="1"/>
  <c r="R33" i="1"/>
  <c r="D52" i="2"/>
  <c r="D16" i="2"/>
  <c r="N49" i="2"/>
  <c r="N50" i="2" s="1"/>
  <c r="D7" i="2"/>
  <c r="F26" i="1"/>
  <c r="F27" i="1" s="1"/>
  <c r="H14" i="1"/>
  <c r="AH26" i="1" l="1"/>
  <c r="AH27" i="1" s="1"/>
  <c r="AI7" i="1"/>
  <c r="I14" i="1"/>
  <c r="J14" i="1" s="1"/>
  <c r="K14" i="1" s="1"/>
  <c r="L14" i="1" s="1"/>
  <c r="M14" i="1" s="1"/>
  <c r="N14" i="1" s="1"/>
  <c r="O14" i="1" s="1"/>
  <c r="P14" i="1" s="1"/>
  <c r="Q14" i="1" s="1"/>
  <c r="H25" i="1"/>
  <c r="F23" i="1"/>
  <c r="E5" i="2"/>
  <c r="E7" i="2" s="1"/>
  <c r="R34" i="1"/>
  <c r="R10" i="1" s="1"/>
  <c r="S33" i="1"/>
  <c r="S34" i="1" s="1"/>
  <c r="S10" i="1" s="1"/>
  <c r="D17" i="2"/>
  <c r="D18" i="2" s="1"/>
  <c r="D57" i="2"/>
  <c r="O49" i="2"/>
  <c r="O50" i="2" s="1"/>
  <c r="AI16" i="1" l="1"/>
  <c r="AI18" i="1" s="1"/>
  <c r="AI20" i="1"/>
  <c r="AI22" i="1" s="1"/>
  <c r="AI23" i="1" s="1"/>
  <c r="AI25" i="1"/>
  <c r="R14" i="1"/>
  <c r="S14" i="1" s="1"/>
  <c r="T33" i="1"/>
  <c r="G29" i="1"/>
  <c r="P49" i="2"/>
  <c r="P50" i="2" s="1"/>
  <c r="G25" i="1"/>
  <c r="E32" i="2"/>
  <c r="AI26" i="1" l="1"/>
  <c r="AI27" i="1" s="1"/>
  <c r="AJ7" i="1"/>
  <c r="T34" i="1"/>
  <c r="T10" i="1" s="1"/>
  <c r="T14" i="1" s="1"/>
  <c r="U33" i="1"/>
  <c r="Q49" i="2"/>
  <c r="Q50" i="2" s="1"/>
  <c r="G26" i="1"/>
  <c r="G27" i="1" s="1"/>
  <c r="G20" i="1"/>
  <c r="F6" i="2" s="1"/>
  <c r="AJ16" i="1" l="1"/>
  <c r="AJ18" i="1" s="1"/>
  <c r="U34" i="1"/>
  <c r="U10" i="1" s="1"/>
  <c r="U14" i="1" s="1"/>
  <c r="V33" i="1"/>
  <c r="H29" i="1"/>
  <c r="R49" i="2"/>
  <c r="R50" i="2" s="1"/>
  <c r="G22" i="1"/>
  <c r="E57" i="2"/>
  <c r="AJ20" i="1" l="1"/>
  <c r="AJ22" i="1" s="1"/>
  <c r="AJ23" i="1" s="1"/>
  <c r="AJ25" i="1"/>
  <c r="G23" i="1"/>
  <c r="F15" i="2" s="1"/>
  <c r="F5" i="2"/>
  <c r="V34" i="1"/>
  <c r="V10" i="1" s="1"/>
  <c r="V14" i="1" s="1"/>
  <c r="W33" i="1"/>
  <c r="I6" i="1"/>
  <c r="H26" i="1"/>
  <c r="E18" i="2"/>
  <c r="E52" i="2"/>
  <c r="S49" i="2"/>
  <c r="S50" i="2" s="1"/>
  <c r="AJ26" i="1" l="1"/>
  <c r="AJ27" i="1" s="1"/>
  <c r="AK7" i="1"/>
  <c r="F32" i="2"/>
  <c r="E69" i="2" s="1"/>
  <c r="D69" i="2" s="1"/>
  <c r="C69" i="2" s="1"/>
  <c r="F7" i="2"/>
  <c r="I17" i="1"/>
  <c r="I19" i="1" s="1"/>
  <c r="I29" i="1" s="1"/>
  <c r="W34" i="1"/>
  <c r="W10" i="1" s="1"/>
  <c r="W14" i="1" s="1"/>
  <c r="X33" i="1"/>
  <c r="X34" i="1" s="1"/>
  <c r="X10" i="1" s="1"/>
  <c r="H27" i="1"/>
  <c r="I7" i="1"/>
  <c r="I8" i="1"/>
  <c r="T49" i="2"/>
  <c r="T50" i="2" s="1"/>
  <c r="H20" i="1"/>
  <c r="G6" i="2" s="1"/>
  <c r="AK16" i="1" l="1"/>
  <c r="AK18" i="1" s="1"/>
  <c r="AK20" i="1"/>
  <c r="AK22" i="1" s="1"/>
  <c r="AK23" i="1" s="1"/>
  <c r="AK25" i="1"/>
  <c r="F33" i="2"/>
  <c r="Y33" i="1"/>
  <c r="X14" i="1"/>
  <c r="J6" i="1"/>
  <c r="J17" i="1" s="1"/>
  <c r="J19" i="1" s="1"/>
  <c r="F36" i="2"/>
  <c r="F14" i="2"/>
  <c r="F52" i="2"/>
  <c r="U49" i="2"/>
  <c r="U50" i="2" s="1"/>
  <c r="H22" i="1"/>
  <c r="I16" i="1"/>
  <c r="I18" i="1" s="1"/>
  <c r="AK26" i="1" l="1"/>
  <c r="AK27" i="1" s="1"/>
  <c r="AL7" i="1"/>
  <c r="I25" i="1"/>
  <c r="I26" i="1" s="1"/>
  <c r="I27" i="1" s="1"/>
  <c r="H23" i="1"/>
  <c r="G15" i="2" s="1"/>
  <c r="G5" i="2"/>
  <c r="Y34" i="1"/>
  <c r="Y10" i="1" s="1"/>
  <c r="Y14" i="1" s="1"/>
  <c r="Z33" i="1"/>
  <c r="J29" i="1"/>
  <c r="K9" i="1" s="1"/>
  <c r="F19" i="2"/>
  <c r="F37" i="2"/>
  <c r="F39" i="2" s="1"/>
  <c r="F38" i="2"/>
  <c r="F21" i="2" s="1"/>
  <c r="V49" i="2"/>
  <c r="V50" i="2" s="1"/>
  <c r="I20" i="1"/>
  <c r="AL16" i="1" l="1"/>
  <c r="AL18" i="1" s="1"/>
  <c r="G32" i="2"/>
  <c r="G7" i="2"/>
  <c r="Z34" i="1"/>
  <c r="Z10" i="1" s="1"/>
  <c r="Z14" i="1" s="1"/>
  <c r="I22" i="1"/>
  <c r="H6" i="2"/>
  <c r="AA33" i="1"/>
  <c r="AB33" i="1"/>
  <c r="K6" i="1"/>
  <c r="K17" i="1" s="1"/>
  <c r="K19" i="1" s="1"/>
  <c r="F58" i="2"/>
  <c r="F22" i="2"/>
  <c r="F20" i="2"/>
  <c r="W49" i="2"/>
  <c r="G73" i="2" l="1"/>
  <c r="G33" i="2"/>
  <c r="AL25" i="1"/>
  <c r="AL20" i="1"/>
  <c r="AL22" i="1" s="1"/>
  <c r="AL23" i="1" s="1"/>
  <c r="X49" i="2"/>
  <c r="X50" i="2" s="1"/>
  <c r="W50" i="2"/>
  <c r="I23" i="1"/>
  <c r="H15" i="2" s="1"/>
  <c r="H5" i="2"/>
  <c r="AB34" i="1"/>
  <c r="AB10" i="1" s="1"/>
  <c r="AA34" i="1"/>
  <c r="AA10" i="1" s="1"/>
  <c r="AA14" i="1" s="1"/>
  <c r="K29" i="1"/>
  <c r="L9" i="1" s="1"/>
  <c r="Y49" i="2"/>
  <c r="Y50" i="2" s="1"/>
  <c r="X51" i="2"/>
  <c r="X16" i="2" s="1"/>
  <c r="J16" i="1"/>
  <c r="J18" i="1" s="1"/>
  <c r="J25" i="1" s="1"/>
  <c r="G18" i="2"/>
  <c r="F60" i="2"/>
  <c r="G52" i="2"/>
  <c r="AL26" i="1" l="1"/>
  <c r="AL27" i="1" s="1"/>
  <c r="AM7" i="1"/>
  <c r="X17" i="2"/>
  <c r="L6" i="1"/>
  <c r="K7" i="1"/>
  <c r="K8" i="1"/>
  <c r="H32" i="2"/>
  <c r="H7" i="2"/>
  <c r="AB14" i="1"/>
  <c r="G10" i="2"/>
  <c r="L17" i="1"/>
  <c r="L19" i="1" s="1"/>
  <c r="X52" i="2"/>
  <c r="Z49" i="2"/>
  <c r="Z50" i="2" s="1"/>
  <c r="Y51" i="2"/>
  <c r="Y16" i="2" s="1"/>
  <c r="G36" i="2"/>
  <c r="J20" i="1"/>
  <c r="H31" i="2" l="1"/>
  <c r="H33" i="2"/>
  <c r="AM16" i="1"/>
  <c r="AM18" i="1" s="1"/>
  <c r="AM20" i="1"/>
  <c r="AM22" i="1" s="1"/>
  <c r="AM23" i="1" s="1"/>
  <c r="AM25" i="1"/>
  <c r="AM26" i="1" s="1"/>
  <c r="AM27" i="1" s="1"/>
  <c r="Y17" i="2"/>
  <c r="J22" i="1"/>
  <c r="I6" i="2"/>
  <c r="H10" i="2"/>
  <c r="K16" i="1"/>
  <c r="J26" i="1"/>
  <c r="J27" i="1" s="1"/>
  <c r="L29" i="1"/>
  <c r="X57" i="2"/>
  <c r="X18" i="2"/>
  <c r="Y52" i="2"/>
  <c r="AA49" i="2"/>
  <c r="AA50" i="2" s="1"/>
  <c r="Z51" i="2"/>
  <c r="Z16" i="2" s="1"/>
  <c r="H18" i="2"/>
  <c r="H57" i="2"/>
  <c r="G19" i="2"/>
  <c r="G38" i="2"/>
  <c r="G21" i="2" s="1"/>
  <c r="G37" i="2"/>
  <c r="G39" i="2" s="1"/>
  <c r="H36" i="2"/>
  <c r="H52" i="2"/>
  <c r="Z17" i="2" l="1"/>
  <c r="M6" i="1"/>
  <c r="M9" i="1"/>
  <c r="M17" i="1" s="1"/>
  <c r="J23" i="1"/>
  <c r="I15" i="2" s="1"/>
  <c r="I5" i="2"/>
  <c r="Y57" i="2"/>
  <c r="Y18" i="2"/>
  <c r="Z52" i="2"/>
  <c r="H19" i="2"/>
  <c r="H37" i="2"/>
  <c r="H39" i="2" s="1"/>
  <c r="H38" i="2"/>
  <c r="H21" i="2" s="1"/>
  <c r="G58" i="2"/>
  <c r="G60" i="2" s="1"/>
  <c r="G22" i="2"/>
  <c r="G20" i="2"/>
  <c r="K18" i="1"/>
  <c r="K25" i="1" l="1"/>
  <c r="L8" i="1" s="1"/>
  <c r="I32" i="2"/>
  <c r="I7" i="2"/>
  <c r="Z57" i="2"/>
  <c r="Z18" i="2"/>
  <c r="H58" i="2"/>
  <c r="H60" i="2" s="1"/>
  <c r="H22" i="2"/>
  <c r="H20" i="2"/>
  <c r="K20" i="1"/>
  <c r="M19" i="1"/>
  <c r="I31" i="2" l="1"/>
  <c r="I33" i="2"/>
  <c r="K26" i="1"/>
  <c r="K27" i="1" s="1"/>
  <c r="L7" i="1"/>
  <c r="K22" i="1"/>
  <c r="J6" i="2"/>
  <c r="I10" i="2"/>
  <c r="M29" i="1"/>
  <c r="N9" i="1" s="1"/>
  <c r="L16" i="1"/>
  <c r="I51" i="2"/>
  <c r="I16" i="2" s="1"/>
  <c r="I17" i="2" l="1"/>
  <c r="I36" i="2"/>
  <c r="I37" i="2" s="1"/>
  <c r="I39" i="2" s="1"/>
  <c r="N6" i="1"/>
  <c r="N17" i="1" s="1"/>
  <c r="K23" i="1"/>
  <c r="J15" i="2" s="1"/>
  <c r="J5" i="2"/>
  <c r="I18" i="2"/>
  <c r="I57" i="2"/>
  <c r="I52" i="2"/>
  <c r="J51" i="2"/>
  <c r="J16" i="2" s="1"/>
  <c r="L18" i="1"/>
  <c r="J17" i="2" l="1"/>
  <c r="L25" i="1"/>
  <c r="M8" i="1" s="1"/>
  <c r="I38" i="2"/>
  <c r="I21" i="2" s="1"/>
  <c r="I58" i="2" s="1"/>
  <c r="I60" i="2" s="1"/>
  <c r="I19" i="2"/>
  <c r="I20" i="2" s="1"/>
  <c r="J32" i="2"/>
  <c r="J7" i="2"/>
  <c r="J18" i="2"/>
  <c r="J57" i="2"/>
  <c r="J52" i="2"/>
  <c r="L20" i="1"/>
  <c r="N19" i="1"/>
  <c r="J31" i="2" l="1"/>
  <c r="J33" i="2"/>
  <c r="L26" i="1"/>
  <c r="L27" i="1" s="1"/>
  <c r="M7" i="1"/>
  <c r="I22" i="2"/>
  <c r="L22" i="1"/>
  <c r="K6" i="2"/>
  <c r="J10" i="2"/>
  <c r="N29" i="1"/>
  <c r="O9" i="1" s="1"/>
  <c r="J36" i="2" l="1"/>
  <c r="J38" i="2" s="1"/>
  <c r="J21" i="2" s="1"/>
  <c r="L23" i="1"/>
  <c r="K15" i="2" s="1"/>
  <c r="K5" i="2"/>
  <c r="O6" i="1"/>
  <c r="O17" i="1" s="1"/>
  <c r="M16" i="1"/>
  <c r="M18" i="1" s="1"/>
  <c r="M25" i="1" l="1"/>
  <c r="N8" i="1" s="1"/>
  <c r="J37" i="2"/>
  <c r="J39" i="2" s="1"/>
  <c r="J19" i="2"/>
  <c r="J20" i="2" s="1"/>
  <c r="K32" i="2"/>
  <c r="K7" i="2"/>
  <c r="M20" i="1"/>
  <c r="J58" i="2"/>
  <c r="J22" i="2"/>
  <c r="K51" i="2"/>
  <c r="K16" i="2" s="1"/>
  <c r="O19" i="1"/>
  <c r="O29" i="1" s="1"/>
  <c r="P9" i="1" s="1"/>
  <c r="K31" i="2" l="1"/>
  <c r="K33" i="2"/>
  <c r="K17" i="2"/>
  <c r="M26" i="1"/>
  <c r="M27" i="1" s="1"/>
  <c r="N7" i="1"/>
  <c r="M22" i="1"/>
  <c r="L6" i="2"/>
  <c r="K18" i="2"/>
  <c r="K57" i="2"/>
  <c r="J60" i="2"/>
  <c r="K52" i="2"/>
  <c r="K10" i="2" l="1"/>
  <c r="K36" i="2"/>
  <c r="M23" i="1"/>
  <c r="L15" i="2" s="1"/>
  <c r="L5" i="2"/>
  <c r="N16" i="1"/>
  <c r="N18" i="1" s="1"/>
  <c r="N25" i="1" s="1"/>
  <c r="P6" i="1"/>
  <c r="L51" i="2"/>
  <c r="L16" i="2" s="1"/>
  <c r="L17" i="2" l="1"/>
  <c r="O7" i="1"/>
  <c r="O8" i="1"/>
  <c r="L32" i="2"/>
  <c r="L7" i="2"/>
  <c r="K38" i="2"/>
  <c r="K21" i="2" s="1"/>
  <c r="K19" i="2"/>
  <c r="K20" i="2" s="1"/>
  <c r="K37" i="2"/>
  <c r="K39" i="2" s="1"/>
  <c r="N20" i="1"/>
  <c r="M6" i="2" s="1"/>
  <c r="N26" i="1"/>
  <c r="N27" i="1" s="1"/>
  <c r="P17" i="1"/>
  <c r="P19" i="1" s="1"/>
  <c r="P29" i="1" s="1"/>
  <c r="Q9" i="1" s="1"/>
  <c r="L52" i="2"/>
  <c r="L31" i="2" l="1"/>
  <c r="L33" i="2"/>
  <c r="K58" i="2"/>
  <c r="K60" i="2" s="1"/>
  <c r="K22" i="2"/>
  <c r="N22" i="1"/>
  <c r="O16" i="1"/>
  <c r="O18" i="1" s="1"/>
  <c r="Q6" i="1"/>
  <c r="Q17" i="1" s="1"/>
  <c r="L18" i="2"/>
  <c r="L57" i="2"/>
  <c r="O20" i="1" l="1"/>
  <c r="N6" i="2" s="1"/>
  <c r="O25" i="1"/>
  <c r="L10" i="2"/>
  <c r="L36" i="2"/>
  <c r="N23" i="1"/>
  <c r="M15" i="2" s="1"/>
  <c r="M5" i="2"/>
  <c r="O22" i="1"/>
  <c r="N5" i="2" s="1"/>
  <c r="Q19" i="1"/>
  <c r="P7" i="1" l="1"/>
  <c r="P8" i="1"/>
  <c r="M32" i="2"/>
  <c r="M7" i="2"/>
  <c r="N32" i="2"/>
  <c r="N7" i="2"/>
  <c r="O23" i="1"/>
  <c r="N15" i="2" s="1"/>
  <c r="L19" i="2"/>
  <c r="L20" i="2" s="1"/>
  <c r="L38" i="2"/>
  <c r="Q29" i="1"/>
  <c r="O26" i="1"/>
  <c r="O27" i="1" s="1"/>
  <c r="M51" i="2"/>
  <c r="M16" i="2" s="1"/>
  <c r="M31" i="2" l="1"/>
  <c r="M33" i="2"/>
  <c r="N31" i="2"/>
  <c r="N10" i="2" s="1"/>
  <c r="N33" i="2"/>
  <c r="M17" i="2"/>
  <c r="R6" i="1"/>
  <c r="R9" i="1"/>
  <c r="L39" i="2"/>
  <c r="L37" i="2" s="1"/>
  <c r="L21" i="2"/>
  <c r="M10" i="2"/>
  <c r="P16" i="1"/>
  <c r="P18" i="1" s="1"/>
  <c r="P25" i="1" s="1"/>
  <c r="M36" i="2"/>
  <c r="M19" i="2" s="1"/>
  <c r="M20" i="2" s="1"/>
  <c r="M52" i="2"/>
  <c r="R17" i="1" l="1"/>
  <c r="R19" i="1" s="1"/>
  <c r="R29" i="1" s="1"/>
  <c r="S6" i="1" s="1"/>
  <c r="S17" i="1" s="1"/>
  <c r="S19" i="1" s="1"/>
  <c r="S29" i="1" s="1"/>
  <c r="Q7" i="1"/>
  <c r="Q8" i="1"/>
  <c r="L22" i="2"/>
  <c r="L58" i="2"/>
  <c r="L60" i="2" s="1"/>
  <c r="P20" i="1"/>
  <c r="T6" i="1"/>
  <c r="T17" i="1" s="1"/>
  <c r="T19" i="1" s="1"/>
  <c r="M38" i="2"/>
  <c r="M39" i="2" s="1"/>
  <c r="M37" i="2" s="1"/>
  <c r="M18" i="2"/>
  <c r="M57" i="2"/>
  <c r="N51" i="2"/>
  <c r="N16" i="2" s="1"/>
  <c r="N17" i="2" l="1"/>
  <c r="P22" i="1"/>
  <c r="O6" i="2"/>
  <c r="T29" i="1"/>
  <c r="U6" i="1" s="1"/>
  <c r="U17" i="1" s="1"/>
  <c r="U19" i="1" s="1"/>
  <c r="U29" i="1" s="1"/>
  <c r="P26" i="1"/>
  <c r="P27" i="1" s="1"/>
  <c r="M21" i="2"/>
  <c r="M22" i="2" s="1"/>
  <c r="N52" i="2"/>
  <c r="N36" i="2"/>
  <c r="N19" i="2" s="1"/>
  <c r="Q16" i="1" l="1"/>
  <c r="Q18" i="1" s="1"/>
  <c r="Q20" i="1" s="1"/>
  <c r="P6" i="2" s="1"/>
  <c r="P23" i="1"/>
  <c r="O15" i="2" s="1"/>
  <c r="O5" i="2"/>
  <c r="V6" i="1"/>
  <c r="V17" i="1" s="1"/>
  <c r="V19" i="1" s="1"/>
  <c r="V29" i="1" s="1"/>
  <c r="M58" i="2"/>
  <c r="M60" i="2" s="1"/>
  <c r="N18" i="2"/>
  <c r="N57" i="2"/>
  <c r="N20" i="2"/>
  <c r="N38" i="2"/>
  <c r="O51" i="2"/>
  <c r="O16" i="2" s="1"/>
  <c r="O17" i="2" l="1"/>
  <c r="Q25" i="1"/>
  <c r="O32" i="2"/>
  <c r="O7" i="2"/>
  <c r="Q22" i="1"/>
  <c r="P5" i="2" s="1"/>
  <c r="W6" i="1"/>
  <c r="W17" i="1" s="1"/>
  <c r="W19" i="1" s="1"/>
  <c r="W29" i="1" s="1"/>
  <c r="O52" i="2"/>
  <c r="N39" i="2"/>
  <c r="N37" i="2" s="1"/>
  <c r="N21" i="2"/>
  <c r="P51" i="2"/>
  <c r="P16" i="2" s="1"/>
  <c r="O31" i="2" l="1"/>
  <c r="O33" i="2"/>
  <c r="P17" i="2"/>
  <c r="R7" i="1"/>
  <c r="R8" i="1"/>
  <c r="Q26" i="1"/>
  <c r="Q27" i="1" s="1"/>
  <c r="P32" i="2"/>
  <c r="P7" i="2"/>
  <c r="Q23" i="1"/>
  <c r="P15" i="2" s="1"/>
  <c r="X6" i="1"/>
  <c r="X17" i="1" s="1"/>
  <c r="X19" i="1" s="1"/>
  <c r="X29" i="1" s="1"/>
  <c r="O18" i="2"/>
  <c r="O57" i="2"/>
  <c r="P52" i="2"/>
  <c r="N22" i="2"/>
  <c r="N58" i="2"/>
  <c r="N60" i="2" s="1"/>
  <c r="P31" i="2" l="1"/>
  <c r="P33" i="2"/>
  <c r="R16" i="1"/>
  <c r="R18" i="1" s="1"/>
  <c r="R20" i="1" s="1"/>
  <c r="O10" i="2"/>
  <c r="O36" i="2"/>
  <c r="P10" i="2"/>
  <c r="Y6" i="1"/>
  <c r="Y17" i="1" s="1"/>
  <c r="Y19" i="1" s="1"/>
  <c r="Y29" i="1" s="1"/>
  <c r="P18" i="2"/>
  <c r="P57" i="2"/>
  <c r="R25" i="1" l="1"/>
  <c r="Q6" i="2"/>
  <c r="R22" i="1"/>
  <c r="R26" i="1"/>
  <c r="R27" i="1" s="1"/>
  <c r="O19" i="2"/>
  <c r="O20" i="2" s="1"/>
  <c r="O38" i="2"/>
  <c r="P36" i="2"/>
  <c r="P19" i="2" s="1"/>
  <c r="Z6" i="1"/>
  <c r="Z17" i="1" s="1"/>
  <c r="Z19" i="1" s="1"/>
  <c r="Z29" i="1" s="1"/>
  <c r="S7" i="1" l="1"/>
  <c r="S8" i="1"/>
  <c r="S16" i="1"/>
  <c r="S18" i="1" s="1"/>
  <c r="Q5" i="2"/>
  <c r="R23" i="1"/>
  <c r="Q15" i="2" s="1"/>
  <c r="O39" i="2"/>
  <c r="O37" i="2" s="1"/>
  <c r="O21" i="2"/>
  <c r="P38" i="2"/>
  <c r="P39" i="2" s="1"/>
  <c r="P37" i="2" s="1"/>
  <c r="AA6" i="1"/>
  <c r="AA17" i="1" s="1"/>
  <c r="AA19" i="1" s="1"/>
  <c r="AA29" i="1" s="1"/>
  <c r="P20" i="2"/>
  <c r="Q51" i="2"/>
  <c r="Q16" i="2" s="1"/>
  <c r="Q17" i="2" l="1"/>
  <c r="Q32" i="2"/>
  <c r="Q7" i="2"/>
  <c r="S25" i="1"/>
  <c r="S20" i="1"/>
  <c r="P21" i="2"/>
  <c r="P58" i="2" s="1"/>
  <c r="P60" i="2" s="1"/>
  <c r="O22" i="2"/>
  <c r="O58" i="2"/>
  <c r="O60" i="2" s="1"/>
  <c r="Q52" i="2"/>
  <c r="Q31" i="2" l="1"/>
  <c r="Q33" i="2" s="1"/>
  <c r="T7" i="1"/>
  <c r="T8" i="1"/>
  <c r="S26" i="1"/>
  <c r="S27" i="1" s="1"/>
  <c r="R6" i="2"/>
  <c r="S22" i="1"/>
  <c r="P22" i="2"/>
  <c r="AB6" i="1"/>
  <c r="AB17" i="1" s="1"/>
  <c r="AB19" i="1" s="1"/>
  <c r="AB29" i="1" s="1"/>
  <c r="Q18" i="2"/>
  <c r="Q57" i="2"/>
  <c r="Q36" i="2" l="1"/>
  <c r="Q10" i="2"/>
  <c r="T16" i="1"/>
  <c r="T18" i="1" s="1"/>
  <c r="T20" i="1" s="1"/>
  <c r="R5" i="2"/>
  <c r="S23" i="1"/>
  <c r="R15" i="2" s="1"/>
  <c r="R51" i="2"/>
  <c r="R16" i="2" s="1"/>
  <c r="R17" i="2" l="1"/>
  <c r="Q19" i="2"/>
  <c r="Q20" i="2" s="1"/>
  <c r="Q38" i="2"/>
  <c r="T25" i="1"/>
  <c r="R32" i="2"/>
  <c r="R7" i="2"/>
  <c r="T26" i="1"/>
  <c r="T27" i="1" s="1"/>
  <c r="T22" i="1"/>
  <c r="S6" i="2"/>
  <c r="R52" i="2"/>
  <c r="R31" i="2" l="1"/>
  <c r="R33" i="2" s="1"/>
  <c r="Q39" i="2"/>
  <c r="Q37" i="2" s="1"/>
  <c r="Q21" i="2"/>
  <c r="U7" i="1"/>
  <c r="U8" i="1"/>
  <c r="U16" i="1"/>
  <c r="U18" i="1" s="1"/>
  <c r="T23" i="1"/>
  <c r="S15" i="2" s="1"/>
  <c r="S5" i="2"/>
  <c r="U25" i="1"/>
  <c r="U20" i="1"/>
  <c r="R18" i="2"/>
  <c r="R57" i="2"/>
  <c r="S51" i="2"/>
  <c r="S16" i="2" s="1"/>
  <c r="S17" i="2" l="1"/>
  <c r="Q22" i="2"/>
  <c r="Q58" i="2"/>
  <c r="Q60" i="2" s="1"/>
  <c r="V7" i="1"/>
  <c r="V8" i="1"/>
  <c r="U22" i="1"/>
  <c r="T6" i="2"/>
  <c r="U26" i="1"/>
  <c r="U27" i="1" s="1"/>
  <c r="R10" i="2"/>
  <c r="R36" i="2"/>
  <c r="S32" i="2"/>
  <c r="S7" i="2"/>
  <c r="S52" i="2"/>
  <c r="S31" i="2" l="1"/>
  <c r="S33" i="2"/>
  <c r="V16" i="1"/>
  <c r="V18" i="1" s="1"/>
  <c r="S10" i="2"/>
  <c r="V25" i="1"/>
  <c r="V20" i="1"/>
  <c r="R19" i="2"/>
  <c r="R20" i="2" s="1"/>
  <c r="R38" i="2"/>
  <c r="U23" i="1"/>
  <c r="T15" i="2" s="1"/>
  <c r="T5" i="2"/>
  <c r="S18" i="2"/>
  <c r="S57" i="2"/>
  <c r="T51" i="2"/>
  <c r="T16" i="2" s="1"/>
  <c r="T17" i="2" l="1"/>
  <c r="W7" i="1"/>
  <c r="W8" i="1"/>
  <c r="S36" i="2"/>
  <c r="S19" i="2" s="1"/>
  <c r="V22" i="1"/>
  <c r="U6" i="2"/>
  <c r="R21" i="2"/>
  <c r="R39" i="2"/>
  <c r="R37" i="2" s="1"/>
  <c r="V26" i="1"/>
  <c r="V27" i="1" s="1"/>
  <c r="T7" i="2"/>
  <c r="T32" i="2"/>
  <c r="T52" i="2"/>
  <c r="S38" i="2" l="1"/>
  <c r="S39" i="2" s="1"/>
  <c r="S37" i="2" s="1"/>
  <c r="T31" i="2"/>
  <c r="T10" i="2" s="1"/>
  <c r="T36" i="2"/>
  <c r="T19" i="2" s="1"/>
  <c r="T20" i="2" s="1"/>
  <c r="W16" i="1"/>
  <c r="W18" i="1" s="1"/>
  <c r="W25" i="1" s="1"/>
  <c r="R22" i="2"/>
  <c r="R58" i="2"/>
  <c r="R60" i="2" s="1"/>
  <c r="U5" i="2"/>
  <c r="V23" i="1"/>
  <c r="U15" i="2" s="1"/>
  <c r="T18" i="2"/>
  <c r="T57" i="2"/>
  <c r="S21" i="2"/>
  <c r="S20" i="2"/>
  <c r="T33" i="2" l="1"/>
  <c r="T38" i="2"/>
  <c r="T39" i="2" s="1"/>
  <c r="T37" i="2" s="1"/>
  <c r="X7" i="1"/>
  <c r="X8" i="1"/>
  <c r="X16" i="1" s="1"/>
  <c r="X18" i="1" s="1"/>
  <c r="W20" i="1"/>
  <c r="W22" i="1" s="1"/>
  <c r="U32" i="2"/>
  <c r="U7" i="2"/>
  <c r="W26" i="1"/>
  <c r="W27" i="1" s="1"/>
  <c r="S22" i="2"/>
  <c r="S58" i="2"/>
  <c r="S60" i="2" s="1"/>
  <c r="U51" i="2"/>
  <c r="U16" i="2" s="1"/>
  <c r="U17" i="2" l="1"/>
  <c r="U31" i="2"/>
  <c r="U10" i="2" s="1"/>
  <c r="T21" i="2"/>
  <c r="T58" i="2" s="1"/>
  <c r="T60" i="2" s="1"/>
  <c r="V6" i="2"/>
  <c r="X25" i="1"/>
  <c r="Y8" i="1" s="1"/>
  <c r="X20" i="1"/>
  <c r="W23" i="1"/>
  <c r="V15" i="2" s="1"/>
  <c r="V5" i="2"/>
  <c r="X22" i="1"/>
  <c r="W6" i="2"/>
  <c r="T22" i="2"/>
  <c r="U52" i="2"/>
  <c r="U33" i="2" l="1"/>
  <c r="U36" i="2"/>
  <c r="U19" i="2" s="1"/>
  <c r="U20" i="2" s="1"/>
  <c r="X26" i="1"/>
  <c r="X27" i="1" s="1"/>
  <c r="Y7" i="1"/>
  <c r="V32" i="2"/>
  <c r="V7" i="2"/>
  <c r="X23" i="1"/>
  <c r="W5" i="2"/>
  <c r="U18" i="2"/>
  <c r="U57" i="2"/>
  <c r="U38" i="2" l="1"/>
  <c r="U21" i="2" s="1"/>
  <c r="U58" i="2" s="1"/>
  <c r="U60" i="2" s="1"/>
  <c r="V31" i="2"/>
  <c r="V10" i="2" s="1"/>
  <c r="U39" i="2"/>
  <c r="U37" i="2" s="1"/>
  <c r="W32" i="2"/>
  <c r="W7" i="2"/>
  <c r="Y16" i="1"/>
  <c r="Y18" i="1" s="1"/>
  <c r="Y25" i="1" s="1"/>
  <c r="V51" i="2"/>
  <c r="V16" i="2" s="1"/>
  <c r="U22" i="2"/>
  <c r="W31" i="2" l="1"/>
  <c r="W33" i="2"/>
  <c r="V33" i="2"/>
  <c r="V17" i="2"/>
  <c r="V36" i="2"/>
  <c r="V19" i="2" s="1"/>
  <c r="V20" i="2" s="1"/>
  <c r="Z7" i="1"/>
  <c r="Z8" i="1"/>
  <c r="W10" i="2"/>
  <c r="Y26" i="1"/>
  <c r="Y27" i="1" s="1"/>
  <c r="Y20" i="1"/>
  <c r="W15" i="2"/>
  <c r="V52" i="2"/>
  <c r="V38" i="2" l="1"/>
  <c r="V21" i="2" s="1"/>
  <c r="Y22" i="1"/>
  <c r="X6" i="2"/>
  <c r="Z16" i="1"/>
  <c r="Z18" i="1" s="1"/>
  <c r="Z25" i="1" s="1"/>
  <c r="V18" i="2"/>
  <c r="V57" i="2"/>
  <c r="V39" i="2"/>
  <c r="V37" i="2" s="1"/>
  <c r="AA7" i="1" l="1"/>
  <c r="AA8" i="1"/>
  <c r="Y23" i="1"/>
  <c r="X15" i="2" s="1"/>
  <c r="X5" i="2"/>
  <c r="Z26" i="1"/>
  <c r="Z27" i="1" s="1"/>
  <c r="Z20" i="1"/>
  <c r="W51" i="2"/>
  <c r="W16" i="2" s="1"/>
  <c r="V58" i="2"/>
  <c r="V60" i="2" s="1"/>
  <c r="V22" i="2"/>
  <c r="W17" i="2" l="1"/>
  <c r="Z22" i="1"/>
  <c r="Y6" i="2"/>
  <c r="X32" i="2"/>
  <c r="X7" i="2"/>
  <c r="W52" i="2"/>
  <c r="W36" i="2"/>
  <c r="W19" i="2" s="1"/>
  <c r="X31" i="2" l="1"/>
  <c r="X33" i="2"/>
  <c r="X10" i="2"/>
  <c r="Z23" i="1"/>
  <c r="Y5" i="2"/>
  <c r="AA16" i="1"/>
  <c r="AA18" i="1" s="1"/>
  <c r="AA25" i="1" s="1"/>
  <c r="W18" i="2"/>
  <c r="W57" i="2"/>
  <c r="W20" i="2"/>
  <c r="W38" i="2"/>
  <c r="AB7" i="1" l="1"/>
  <c r="AB8" i="1"/>
  <c r="Y32" i="2"/>
  <c r="Y7" i="2"/>
  <c r="AA26" i="1"/>
  <c r="AA27" i="1" s="1"/>
  <c r="AA20" i="1"/>
  <c r="Y15" i="2"/>
  <c r="W39" i="2"/>
  <c r="W37" i="2" s="1"/>
  <c r="W21" i="2"/>
  <c r="AA51" i="2"/>
  <c r="AA16" i="2" s="1"/>
  <c r="Y31" i="2" l="1"/>
  <c r="Y33" i="2"/>
  <c r="AA17" i="2"/>
  <c r="AA22" i="1"/>
  <c r="Z6" i="2"/>
  <c r="Y10" i="2"/>
  <c r="X36" i="2"/>
  <c r="AA52" i="2"/>
  <c r="W58" i="2"/>
  <c r="W60" i="2" s="1"/>
  <c r="W22" i="2"/>
  <c r="AA23" i="1" l="1"/>
  <c r="Z5" i="2"/>
  <c r="X38" i="2"/>
  <c r="X19" i="2"/>
  <c r="X20" i="2" s="1"/>
  <c r="AA18" i="2"/>
  <c r="AA57" i="2"/>
  <c r="Z32" i="2" l="1"/>
  <c r="Z7" i="2"/>
  <c r="AB16" i="1"/>
  <c r="AB18" i="1" s="1"/>
  <c r="AB25" i="1" s="1"/>
  <c r="Z15" i="2"/>
  <c r="X39" i="2"/>
  <c r="X37" i="2" s="1"/>
  <c r="X21" i="2"/>
  <c r="Z31" i="2" l="1"/>
  <c r="Z33" i="2"/>
  <c r="Z10" i="2"/>
  <c r="AB20" i="1"/>
  <c r="AB26" i="1"/>
  <c r="AB27" i="1" s="1"/>
  <c r="X22" i="2"/>
  <c r="X58" i="2"/>
  <c r="X60" i="2" s="1"/>
  <c r="Y36" i="2"/>
  <c r="AB22" i="1" l="1"/>
  <c r="AA6" i="2"/>
  <c r="Y38" i="2"/>
  <c r="Y19" i="2"/>
  <c r="Y20" i="2" s="1"/>
  <c r="AB23" i="1" l="1"/>
  <c r="AA15" i="2" s="1"/>
  <c r="AA5" i="2"/>
  <c r="Z36" i="2"/>
  <c r="Y39" i="2"/>
  <c r="Y37" i="2" s="1"/>
  <c r="Y21" i="2"/>
  <c r="D36" i="2"/>
  <c r="D19" i="2" s="1"/>
  <c r="AA32" i="2" l="1"/>
  <c r="AA7" i="2"/>
  <c r="Z19" i="2"/>
  <c r="Z20" i="2" s="1"/>
  <c r="Z38" i="2"/>
  <c r="Y58" i="2"/>
  <c r="Y60" i="2" s="1"/>
  <c r="Y22" i="2"/>
  <c r="D20" i="2"/>
  <c r="D38" i="2"/>
  <c r="D21" i="2" s="1"/>
  <c r="D37" i="2"/>
  <c r="D39" i="2" s="1"/>
  <c r="AA31" i="2" l="1"/>
  <c r="AA33" i="2"/>
  <c r="AA10" i="2"/>
  <c r="Z39" i="2"/>
  <c r="Z37" i="2" s="1"/>
  <c r="Z21" i="2"/>
  <c r="D22" i="2"/>
  <c r="D58" i="2"/>
  <c r="D60" i="2" s="1"/>
  <c r="E36" i="2"/>
  <c r="E19" i="2" s="1"/>
  <c r="E14" i="2"/>
  <c r="E33" i="2"/>
  <c r="AA36" i="2" l="1"/>
  <c r="AA19" i="2" s="1"/>
  <c r="AA20" i="2" s="1"/>
  <c r="Z22" i="2"/>
  <c r="Z58" i="2"/>
  <c r="Z60" i="2" s="1"/>
  <c r="E20" i="2"/>
  <c r="E38" i="2"/>
  <c r="E21" i="2" s="1"/>
  <c r="E37" i="2"/>
  <c r="E39" i="2" s="1"/>
  <c r="AA38" i="2" l="1"/>
  <c r="AA21" i="2" s="1"/>
  <c r="F24" i="2"/>
  <c r="F13" i="2"/>
  <c r="E22" i="2"/>
  <c r="E58" i="2"/>
  <c r="E60" i="2" s="1"/>
  <c r="AA39" i="2" l="1"/>
  <c r="AA37" i="2" s="1"/>
  <c r="AA22" i="2"/>
  <c r="AA58" i="2"/>
  <c r="AA60" i="2" s="1"/>
  <c r="H11" i="2"/>
  <c r="I11" i="2" l="1"/>
  <c r="H12" i="2"/>
  <c r="H13" i="2" s="1"/>
  <c r="G14" i="2"/>
  <c r="J11" i="2" l="1"/>
  <c r="I12" i="2"/>
  <c r="H14" i="2"/>
  <c r="E23" i="2"/>
  <c r="F40" i="2"/>
  <c r="I14" i="2" l="1"/>
  <c r="J12" i="2"/>
  <c r="I13" i="2"/>
  <c r="K11" i="2"/>
  <c r="F23" i="2"/>
  <c r="G69" i="2"/>
  <c r="K12" i="2" l="1"/>
  <c r="J14" i="2"/>
  <c r="J13" i="2"/>
  <c r="L11" i="2"/>
  <c r="M11" i="2" l="1"/>
  <c r="L12" i="2"/>
  <c r="L13" i="2" s="1"/>
  <c r="K14" i="2"/>
  <c r="K13" i="2"/>
  <c r="N11" i="2" l="1"/>
  <c r="M12" i="2"/>
  <c r="L14" i="2"/>
  <c r="N12" i="2" l="1"/>
  <c r="M14" i="2"/>
  <c r="O11" i="2"/>
  <c r="M13" i="2"/>
  <c r="O12" i="2" l="1"/>
  <c r="N14" i="2"/>
  <c r="N13" i="2"/>
  <c r="P11" i="2"/>
  <c r="Q11" i="2" l="1"/>
  <c r="P12" i="2"/>
  <c r="P13" i="2" s="1"/>
  <c r="O14" i="2"/>
  <c r="O13" i="2"/>
  <c r="R11" i="2" l="1"/>
  <c r="Q12" i="2"/>
  <c r="P14" i="2"/>
  <c r="Q14" i="2" l="1"/>
  <c r="R12" i="2"/>
  <c r="S11" i="2"/>
  <c r="Q13" i="2"/>
  <c r="S12" i="2" l="1"/>
  <c r="S13" i="2" s="1"/>
  <c r="R14" i="2"/>
  <c r="R13" i="2"/>
  <c r="T11" i="2"/>
  <c r="U11" i="2" l="1"/>
  <c r="T12" i="2"/>
  <c r="S14" i="2"/>
  <c r="U12" i="2" l="1"/>
  <c r="T14" i="2"/>
  <c r="T13" i="2"/>
  <c r="U13" i="2"/>
  <c r="V11" i="2"/>
  <c r="W11" i="2" s="1"/>
  <c r="X11" i="2" l="1"/>
  <c r="V12" i="2"/>
  <c r="U14" i="2"/>
  <c r="V13" i="2" l="1"/>
  <c r="W12" i="2"/>
  <c r="V14" i="2"/>
  <c r="Y11" i="2"/>
  <c r="Z11" i="2" l="1"/>
  <c r="X12" i="2"/>
  <c r="W14" i="2"/>
  <c r="W13" i="2"/>
  <c r="Y12" i="2" l="1"/>
  <c r="X14" i="2"/>
  <c r="X13" i="2"/>
  <c r="AA11" i="2"/>
  <c r="Z12" i="2" l="1"/>
  <c r="Y14" i="2"/>
  <c r="Y13" i="2"/>
  <c r="AA12" i="2" l="1"/>
  <c r="Z14" i="2"/>
  <c r="Z13" i="2"/>
  <c r="AA14" i="2" l="1"/>
  <c r="AA13" i="2"/>
  <c r="G40" i="2" l="1"/>
  <c r="G23" i="2" s="1"/>
  <c r="G47" i="2"/>
  <c r="G29" i="2"/>
  <c r="Y46" i="2" l="1"/>
  <c r="H46" i="2"/>
  <c r="Y29" i="2"/>
  <c r="Y40" i="2"/>
  <c r="H70" i="2"/>
  <c r="J46" i="2"/>
  <c r="N46" i="2"/>
  <c r="R46" i="2"/>
  <c r="V46" i="2"/>
  <c r="Z46" i="2"/>
  <c r="K46" i="2"/>
  <c r="O46" i="2"/>
  <c r="S46" i="2"/>
  <c r="W46" i="2"/>
  <c r="AA46" i="2"/>
  <c r="G28" i="2"/>
  <c r="L46" i="2"/>
  <c r="P46" i="2"/>
  <c r="T46" i="2"/>
  <c r="X46" i="2"/>
  <c r="G41" i="2"/>
  <c r="G24" i="2" s="1"/>
  <c r="I46" i="2"/>
  <c r="M46" i="2"/>
  <c r="Q46" i="2"/>
  <c r="U46" i="2"/>
  <c r="J29" i="2" l="1"/>
  <c r="J40" i="2"/>
  <c r="U29" i="2"/>
  <c r="U40" i="2"/>
  <c r="S40" i="2"/>
  <c r="S29" i="2"/>
  <c r="O40" i="2"/>
  <c r="O29" i="2"/>
  <c r="L29" i="2"/>
  <c r="L40" i="2"/>
  <c r="K40" i="2"/>
  <c r="K29" i="2"/>
  <c r="Y41" i="2"/>
  <c r="Y24" i="2" s="1"/>
  <c r="Y23" i="2"/>
  <c r="Y28" i="2"/>
  <c r="Z29" i="2"/>
  <c r="Z40" i="2"/>
  <c r="Q29" i="2"/>
  <c r="Q40" i="2"/>
  <c r="X29" i="2"/>
  <c r="X40" i="2"/>
  <c r="V29" i="2"/>
  <c r="V40" i="2"/>
  <c r="M29" i="2"/>
  <c r="M40" i="2"/>
  <c r="T29" i="2"/>
  <c r="T40" i="2"/>
  <c r="AA40" i="2"/>
  <c r="AA29" i="2"/>
  <c r="R29" i="2"/>
  <c r="R40" i="2"/>
  <c r="I29" i="2"/>
  <c r="I40" i="2"/>
  <c r="P29" i="2"/>
  <c r="P40" i="2"/>
  <c r="W40" i="2"/>
  <c r="W29" i="2"/>
  <c r="H40" i="2"/>
  <c r="H29" i="2"/>
  <c r="N29" i="2"/>
  <c r="N40" i="2"/>
  <c r="AA23" i="2" l="1"/>
  <c r="AA41" i="2"/>
  <c r="AA24" i="2" s="1"/>
  <c r="AA28" i="2"/>
  <c r="U23" i="2"/>
  <c r="U41" i="2"/>
  <c r="U24" i="2" s="1"/>
  <c r="U28" i="2"/>
  <c r="W28" i="2"/>
  <c r="W41" i="2"/>
  <c r="W24" i="2" s="1"/>
  <c r="W23" i="2"/>
  <c r="P28" i="2"/>
  <c r="P23" i="2"/>
  <c r="P41" i="2"/>
  <c r="P24" i="2" s="1"/>
  <c r="V23" i="2"/>
  <c r="V28" i="2"/>
  <c r="V41" i="2"/>
  <c r="V24" i="2" s="1"/>
  <c r="O28" i="2"/>
  <c r="O41" i="2"/>
  <c r="O24" i="2" s="1"/>
  <c r="O23" i="2"/>
  <c r="Q23" i="2"/>
  <c r="Q41" i="2"/>
  <c r="Q24" i="2" s="1"/>
  <c r="Q28" i="2"/>
  <c r="H28" i="2"/>
  <c r="H23" i="2"/>
  <c r="H41" i="2"/>
  <c r="H24" i="2" s="1"/>
  <c r="H47" i="2"/>
  <c r="L28" i="2"/>
  <c r="L41" i="2"/>
  <c r="L24" i="2" s="1"/>
  <c r="L23" i="2"/>
  <c r="J23" i="2"/>
  <c r="J41" i="2"/>
  <c r="J24" i="2" s="1"/>
  <c r="J28" i="2"/>
  <c r="R23" i="2"/>
  <c r="R28" i="2"/>
  <c r="R41" i="2"/>
  <c r="R24" i="2" s="1"/>
  <c r="T28" i="2"/>
  <c r="T41" i="2"/>
  <c r="T24" i="2" s="1"/>
  <c r="T23" i="2"/>
  <c r="K41" i="2"/>
  <c r="K24" i="2" s="1"/>
  <c r="K28" i="2"/>
  <c r="K23" i="2"/>
  <c r="N23" i="2"/>
  <c r="N41" i="2"/>
  <c r="N24" i="2" s="1"/>
  <c r="N28" i="2"/>
  <c r="I41" i="2"/>
  <c r="I24" i="2" s="1"/>
  <c r="I23" i="2"/>
  <c r="I28" i="2"/>
  <c r="M41" i="2"/>
  <c r="M24" i="2" s="1"/>
  <c r="M23" i="2"/>
  <c r="M28" i="2"/>
  <c r="X28" i="2"/>
  <c r="X41" i="2"/>
  <c r="X24" i="2" s="1"/>
  <c r="X23" i="2"/>
  <c r="Z23" i="2"/>
  <c r="Z28" i="2"/>
  <c r="Z41" i="2"/>
  <c r="Z24" i="2" s="1"/>
  <c r="S28" i="2"/>
  <c r="S41" i="2"/>
  <c r="S24" i="2" s="1"/>
  <c r="S23" i="2"/>
</calcChain>
</file>

<file path=xl/sharedStrings.xml><?xml version="1.0" encoding="utf-8"?>
<sst xmlns="http://schemas.openxmlformats.org/spreadsheetml/2006/main" count="147" uniqueCount="91">
  <si>
    <t>Specificatie</t>
  </si>
  <si>
    <t>TJ/an</t>
  </si>
  <si>
    <t>Reducere consum de caldura ca urmare a debransarii de apartamente</t>
  </si>
  <si>
    <t>Reducere consum ca urmare a izolarii termice a locuintelor</t>
  </si>
  <si>
    <t>Tj/an</t>
  </si>
  <si>
    <t>ap.</t>
  </si>
  <si>
    <t>nr</t>
  </si>
  <si>
    <t>Total reducere consum energie termica casnici</t>
  </si>
  <si>
    <t>Gcal/an</t>
  </si>
  <si>
    <t>Consum /apartament si an</t>
  </si>
  <si>
    <t>TJ/an si ap.</t>
  </si>
  <si>
    <t>Gcal/an si ap</t>
  </si>
  <si>
    <t>KWh/mp si an</t>
  </si>
  <si>
    <t>SACET</t>
  </si>
  <si>
    <t>Energie termica produsa in SACET</t>
  </si>
  <si>
    <t>TJ</t>
  </si>
  <si>
    <t>Pierderi in retele termice</t>
  </si>
  <si>
    <t>%</t>
  </si>
  <si>
    <t>GWh</t>
  </si>
  <si>
    <t>Tj</t>
  </si>
  <si>
    <t>1000mc</t>
  </si>
  <si>
    <t>Energie electrica produsa</t>
  </si>
  <si>
    <t>Energie termica produsa</t>
  </si>
  <si>
    <t>kt</t>
  </si>
  <si>
    <t xml:space="preserve">    - Consum de gaze naturale pentru producere energie termica</t>
  </si>
  <si>
    <t>Cazan apa fierbinte</t>
  </si>
  <si>
    <t xml:space="preserve">         - pentru producerea energiei termice</t>
  </si>
  <si>
    <t>Energie electrica produsa SACET</t>
  </si>
  <si>
    <t>t CO2/TJ</t>
  </si>
  <si>
    <t>t</t>
  </si>
  <si>
    <t>Consum de combustibil</t>
  </si>
  <si>
    <t xml:space="preserve">         - pentru producere energie termica</t>
  </si>
  <si>
    <t>TJ/consumator</t>
  </si>
  <si>
    <t>GWH</t>
  </si>
  <si>
    <t>Emisii</t>
  </si>
  <si>
    <t xml:space="preserve">Factor </t>
  </si>
  <si>
    <t>emisie</t>
  </si>
  <si>
    <t>Pierderi in retelele termice</t>
  </si>
  <si>
    <t>Total energie termica produsa</t>
  </si>
  <si>
    <t>Cogenerare</t>
  </si>
  <si>
    <t xml:space="preserve">   - Consum gaze naturale pentru producere energie electrica</t>
  </si>
  <si>
    <t>MWPCS</t>
  </si>
  <si>
    <t xml:space="preserve">         - pentru producerea energiei electrice</t>
  </si>
  <si>
    <t>Kt CO2</t>
  </si>
  <si>
    <t>Consumatori C1</t>
  </si>
  <si>
    <t>Consuamtori C2</t>
  </si>
  <si>
    <t>Total emisii CO2</t>
  </si>
  <si>
    <t>Gaze naturale</t>
  </si>
  <si>
    <t>Pacura</t>
  </si>
  <si>
    <t>Total consum energie termica casnici</t>
  </si>
  <si>
    <t xml:space="preserve">             - Consum din productie proprie</t>
  </si>
  <si>
    <t xml:space="preserve">             - Consum din SEN (cumparata)</t>
  </si>
  <si>
    <t>Reducere consum de caldura ca urmare a debransarii ag. economici si institutii publice</t>
  </si>
  <si>
    <t>Reducere consum ca urmare a izolarii termice a cladirilor aferente consumatorilor non-casnici</t>
  </si>
  <si>
    <t>Total consum caldura non - casnici</t>
  </si>
  <si>
    <t>Total consum caldura casnici si non - casnici</t>
  </si>
  <si>
    <t>Consum consumatori non - casnici/an</t>
  </si>
  <si>
    <t>Cantitate de energie termica consumata/vanduta</t>
  </si>
  <si>
    <t>Consum de combustibil - gaze naturale</t>
  </si>
  <si>
    <t>Consum de combustibil pentru producera energiei termice - gaze naturale</t>
  </si>
  <si>
    <t>Numar apartamente debransate</t>
  </si>
  <si>
    <t>Total consum de combustibil - gaze naturale:</t>
  </si>
  <si>
    <t xml:space="preserve">           - pentru producere energie electrica</t>
  </si>
  <si>
    <t xml:space="preserve">           - pentru producere energie termica</t>
  </si>
  <si>
    <t>Emisii CO2 - gaze naturale pentru producerea energiei termice</t>
  </si>
  <si>
    <t>Emisii CO2 - pacura pentru producere energie termica</t>
  </si>
  <si>
    <t xml:space="preserve">Certificate alocate gratuit </t>
  </si>
  <si>
    <t>Total reducere consum energie termica non - casnici</t>
  </si>
  <si>
    <t>Estimare nr. apartamente conectate</t>
  </si>
  <si>
    <t>Total apartamente</t>
  </si>
  <si>
    <t>Anexa 2 - Evoluție consum si producţie în varianta "fara proiect"</t>
  </si>
  <si>
    <t>Estimare nr. consumatori non - casnici ce se branseaza/rebranseaza</t>
  </si>
  <si>
    <t>Estimare nr. consumatori non - casnici ce se debranseaza</t>
  </si>
  <si>
    <t>Estimarea nr. de apartamente ce se debranseaza</t>
  </si>
  <si>
    <t>Consumatori C1 - consumatori casnici - apartamente afectate</t>
  </si>
  <si>
    <t>Consumatori C2 - consumatori casnici - apartamente neafectate de lucrari</t>
  </si>
  <si>
    <t>Estimare consumatori non - casnici, inclusiv case particulare</t>
  </si>
  <si>
    <t>Total energie electrica livrata in sistem</t>
  </si>
  <si>
    <t>Consum combustibil pentru producere energie termica - biomasa</t>
  </si>
  <si>
    <t xml:space="preserve">Consum de biomasa </t>
  </si>
  <si>
    <t>Energie termica + electrica produsa</t>
  </si>
  <si>
    <t>Consum biomasa Tj/t</t>
  </si>
  <si>
    <t>Total consum combustibil - biomasa</t>
  </si>
  <si>
    <t>Consum energie electrica in CET, din care</t>
  </si>
  <si>
    <t xml:space="preserve">Emisii CO2 - gaze naturale </t>
  </si>
  <si>
    <t>Consum energie electrica pentru pompare apa fierbinte si consum punct termic - cumparata din SEN</t>
  </si>
  <si>
    <t>Consum biomasa t/Gwh an 2021</t>
  </si>
  <si>
    <t>Estimare nr. apartamente ce se branseaza</t>
  </si>
  <si>
    <t>Anexa 1 - Evoluția consumului de căldură în varianta "fara proiect"</t>
  </si>
  <si>
    <t>An 2022</t>
  </si>
  <si>
    <t>Total consum combustibil - gaze naturale + biomasa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</si>
</sst>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"/>
    <numFmt numFmtId="166" formatCode="0.000"/>
    <numFmt numFmtId="167" formatCode="#,##0.0"/>
    <numFmt numFmtId="168" formatCode="0.0000"/>
    <numFmt numFmtId="169" formatCode="#,##0.000"/>
    <numFmt numFmtId="170" formatCode="#,##0.0000"/>
    <numFmt numFmtId="171" formatCode="#,##0.0000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11"/>
      <name val="Calibri"/>
      <family val="2"/>
      <scheme val="minor"/>
    </font>
    <font>
      <sz val="2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5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4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/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wrapText="1"/>
    </xf>
    <xf numFmtId="167" fontId="8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15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167" fontId="10" fillId="0" borderId="1" xfId="0" applyNumberFormat="1" applyFont="1" applyBorder="1" applyAlignment="1">
      <alignment horizontal="center" vertical="center"/>
    </xf>
    <xf numFmtId="167" fontId="12" fillId="0" borderId="1" xfId="5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9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16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1" fontId="10" fillId="0" borderId="0" xfId="0" applyNumberFormat="1" applyFont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2" fontId="10" fillId="0" borderId="0" xfId="0" applyNumberFormat="1" applyFont="1"/>
    <xf numFmtId="0" fontId="13" fillId="0" borderId="0" xfId="0" applyFont="1"/>
    <xf numFmtId="2" fontId="13" fillId="0" borderId="0" xfId="0" applyNumberFormat="1" applyFont="1" applyAlignment="1">
      <alignment horizontal="center" vertical="center"/>
    </xf>
    <xf numFmtId="2" fontId="13" fillId="0" borderId="0" xfId="0" applyNumberFormat="1" applyFont="1"/>
    <xf numFmtId="165" fontId="13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0" fillId="0" borderId="0" xfId="1" applyFont="1"/>
    <xf numFmtId="0" fontId="10" fillId="0" borderId="0" xfId="1" applyFont="1" applyAlignment="1">
      <alignment horizontal="center" vertical="center"/>
    </xf>
    <xf numFmtId="167" fontId="10" fillId="0" borderId="0" xfId="1" applyNumberFormat="1" applyFont="1" applyAlignment="1">
      <alignment horizontal="center" vertical="center"/>
    </xf>
    <xf numFmtId="168" fontId="10" fillId="0" borderId="0" xfId="0" applyNumberFormat="1" applyFont="1" applyAlignment="1">
      <alignment horizontal="center" vertical="center"/>
    </xf>
    <xf numFmtId="166" fontId="10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9" fontId="10" fillId="0" borderId="0" xfId="10" applyFont="1"/>
    <xf numFmtId="0" fontId="8" fillId="4" borderId="1" xfId="0" applyFont="1" applyFill="1" applyBorder="1"/>
    <xf numFmtId="0" fontId="8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 vertical="center"/>
    </xf>
    <xf numFmtId="167" fontId="8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5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center" vertical="center"/>
    </xf>
    <xf numFmtId="167" fontId="8" fillId="5" borderId="1" xfId="0" applyNumberFormat="1" applyFont="1" applyFill="1" applyBorder="1" applyAlignment="1">
      <alignment horizontal="center" vertical="center"/>
    </xf>
    <xf numFmtId="0" fontId="8" fillId="5" borderId="0" xfId="0" applyFont="1" applyFill="1"/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wrapText="1"/>
    </xf>
    <xf numFmtId="0" fontId="10" fillId="5" borderId="1" xfId="0" applyFont="1" applyFill="1" applyBorder="1"/>
    <xf numFmtId="0" fontId="10" fillId="5" borderId="1" xfId="0" applyFont="1" applyFill="1" applyBorder="1" applyAlignment="1">
      <alignment wrapText="1"/>
    </xf>
    <xf numFmtId="0" fontId="10" fillId="5" borderId="1" xfId="0" applyFont="1" applyFill="1" applyBorder="1" applyAlignment="1">
      <alignment horizontal="center" vertical="center"/>
    </xf>
    <xf numFmtId="169" fontId="10" fillId="5" borderId="1" xfId="0" applyNumberFormat="1" applyFont="1" applyFill="1" applyBorder="1" applyAlignment="1">
      <alignment horizontal="center" vertical="center"/>
    </xf>
    <xf numFmtId="167" fontId="10" fillId="5" borderId="1" xfId="0" applyNumberFormat="1" applyFont="1" applyFill="1" applyBorder="1" applyAlignment="1">
      <alignment horizontal="center" vertical="center"/>
    </xf>
    <xf numFmtId="0" fontId="10" fillId="5" borderId="0" xfId="0" applyFont="1" applyFill="1"/>
    <xf numFmtId="4" fontId="8" fillId="5" borderId="1" xfId="0" applyNumberFormat="1" applyFont="1" applyFill="1" applyBorder="1" applyAlignment="1">
      <alignment horizontal="center" vertical="center"/>
    </xf>
    <xf numFmtId="169" fontId="8" fillId="5" borderId="1" xfId="0" applyNumberFormat="1" applyFont="1" applyFill="1" applyBorder="1" applyAlignment="1">
      <alignment horizontal="center" vertical="center"/>
    </xf>
    <xf numFmtId="167" fontId="10" fillId="5" borderId="1" xfId="0" applyNumberFormat="1" applyFont="1" applyFill="1" applyBorder="1" applyAlignment="1">
      <alignment horizontal="center" vertical="center" wrapText="1"/>
    </xf>
    <xf numFmtId="167" fontId="8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/>
    <xf numFmtId="0" fontId="9" fillId="5" borderId="1" xfId="0" applyFont="1" applyFill="1" applyBorder="1" applyAlignment="1">
      <alignment wrapText="1"/>
    </xf>
    <xf numFmtId="0" fontId="9" fillId="5" borderId="1" xfId="0" applyFont="1" applyFill="1" applyBorder="1" applyAlignment="1">
      <alignment horizontal="center" vertical="center"/>
    </xf>
    <xf numFmtId="167" fontId="13" fillId="5" borderId="1" xfId="0" applyNumberFormat="1" applyFont="1" applyFill="1" applyBorder="1" applyAlignment="1">
      <alignment horizontal="center" vertical="center" wrapText="1"/>
    </xf>
    <xf numFmtId="167" fontId="13" fillId="5" borderId="1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167" fontId="9" fillId="5" borderId="1" xfId="0" applyNumberFormat="1" applyFont="1" applyFill="1" applyBorder="1" applyAlignment="1">
      <alignment horizontal="center" vertical="center"/>
    </xf>
    <xf numFmtId="0" fontId="13" fillId="5" borderId="0" xfId="0" applyFont="1" applyFill="1"/>
    <xf numFmtId="0" fontId="10" fillId="5" borderId="0" xfId="0" applyFont="1" applyFill="1" applyAlignment="1">
      <alignment horizontal="center" vertical="center"/>
    </xf>
    <xf numFmtId="170" fontId="8" fillId="5" borderId="1" xfId="0" applyNumberFormat="1" applyFont="1" applyFill="1" applyBorder="1" applyAlignment="1">
      <alignment horizontal="center" vertical="center"/>
    </xf>
    <xf numFmtId="171" fontId="10" fillId="5" borderId="1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left" vertical="center" wrapText="1"/>
    </xf>
    <xf numFmtId="0" fontId="8" fillId="5" borderId="1" xfId="1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70" fontId="1" fillId="5" borderId="1" xfId="0" applyNumberFormat="1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8" fontId="1" fillId="5" borderId="1" xfId="0" applyNumberFormat="1" applyFont="1" applyFill="1" applyBorder="1" applyAlignment="1">
      <alignment horizontal="center" vertical="center"/>
    </xf>
    <xf numFmtId="3" fontId="8" fillId="5" borderId="1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7" fillId="5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horizontal="center" vertical="center" wrapText="1"/>
    </xf>
    <xf numFmtId="167" fontId="1" fillId="5" borderId="1" xfId="0" applyNumberFormat="1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/>
    </xf>
    <xf numFmtId="2" fontId="1" fillId="5" borderId="0" xfId="0" applyNumberFormat="1" applyFont="1" applyFill="1" applyAlignment="1">
      <alignment horizontal="center" vertical="center"/>
    </xf>
    <xf numFmtId="167" fontId="6" fillId="5" borderId="1" xfId="2" applyNumberFormat="1" applyFont="1" applyFill="1" applyBorder="1" applyAlignment="1">
      <alignment horizontal="center" vertical="center"/>
    </xf>
    <xf numFmtId="167" fontId="6" fillId="5" borderId="1" xfId="3" applyNumberFormat="1" applyFont="1" applyFill="1" applyBorder="1" applyAlignment="1">
      <alignment horizontal="center" vertical="center"/>
    </xf>
    <xf numFmtId="167" fontId="6" fillId="5" borderId="1" xfId="4" applyNumberFormat="1" applyFont="1" applyFill="1" applyBorder="1" applyAlignment="1">
      <alignment horizontal="center" vertical="center"/>
    </xf>
    <xf numFmtId="2" fontId="6" fillId="5" borderId="0" xfId="4" applyNumberFormat="1" applyFont="1" applyFill="1" applyAlignment="1">
      <alignment horizontal="center" vertical="center"/>
    </xf>
    <xf numFmtId="0" fontId="9" fillId="5" borderId="1" xfId="1" applyFont="1" applyFill="1" applyBorder="1" applyAlignment="1">
      <alignment horizontal="left" vertical="center" wrapText="1"/>
    </xf>
    <xf numFmtId="0" fontId="9" fillId="5" borderId="1" xfId="1" applyFont="1" applyFill="1" applyBorder="1" applyAlignment="1">
      <alignment horizontal="center" vertical="center" wrapText="1"/>
    </xf>
    <xf numFmtId="167" fontId="7" fillId="5" borderId="1" xfId="0" applyNumberFormat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left" vertical="center"/>
    </xf>
    <xf numFmtId="0" fontId="9" fillId="5" borderId="1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left" vertical="center"/>
    </xf>
    <xf numFmtId="169" fontId="1" fillId="5" borderId="1" xfId="0" applyNumberFormat="1" applyFont="1" applyFill="1" applyBorder="1" applyAlignment="1">
      <alignment horizontal="center" vertical="center"/>
    </xf>
    <xf numFmtId="3" fontId="8" fillId="5" borderId="1" xfId="1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3" fontId="8" fillId="5" borderId="1" xfId="2" applyNumberFormat="1" applyFont="1" applyFill="1" applyBorder="1" applyAlignment="1">
      <alignment horizontal="center" vertical="center"/>
    </xf>
    <xf numFmtId="10" fontId="1" fillId="5" borderId="0" xfId="10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167" fontId="6" fillId="5" borderId="0" xfId="0" applyNumberFormat="1" applyFont="1" applyFill="1" applyAlignment="1">
      <alignment horizontal="center" vertical="center"/>
    </xf>
    <xf numFmtId="3" fontId="6" fillId="5" borderId="0" xfId="0" applyNumberFormat="1" applyFont="1" applyFill="1" applyAlignment="1">
      <alignment horizontal="center" vertical="center"/>
    </xf>
    <xf numFmtId="4" fontId="6" fillId="5" borderId="0" xfId="0" applyNumberFormat="1" applyFont="1" applyFill="1" applyAlignment="1">
      <alignment horizontal="center" vertical="center"/>
    </xf>
    <xf numFmtId="0" fontId="10" fillId="5" borderId="1" xfId="0" applyFont="1" applyFill="1" applyBorder="1" applyAlignment="1">
      <alignment horizontal="left" vertical="center" wrapText="1"/>
    </xf>
    <xf numFmtId="165" fontId="1" fillId="5" borderId="0" xfId="0" applyNumberFormat="1" applyFont="1" applyFill="1" applyAlignment="1">
      <alignment horizontal="center" vertical="center"/>
    </xf>
    <xf numFmtId="9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2" fontId="1" fillId="5" borderId="0" xfId="4" applyNumberFormat="1" applyFont="1" applyFill="1" applyAlignment="1">
      <alignment horizontal="center" vertical="center"/>
    </xf>
    <xf numFmtId="167" fontId="1" fillId="5" borderId="0" xfId="0" applyNumberFormat="1" applyFont="1" applyFill="1" applyAlignment="1">
      <alignment horizontal="center" vertical="center"/>
    </xf>
  </cellXfs>
  <cellStyles count="11">
    <cellStyle name="Normal" xfId="0" builtinId="0"/>
    <cellStyle name="Normal 2" xfId="1" xr:uid="{00000000-0005-0000-0000-000001000000}"/>
    <cellStyle name="Normal 3" xfId="2" xr:uid="{00000000-0005-0000-0000-000002000000}"/>
    <cellStyle name="Normal 3 2" xfId="7" xr:uid="{00000000-0005-0000-0000-000003000000}"/>
    <cellStyle name="Normal 4" xfId="3" xr:uid="{00000000-0005-0000-0000-000004000000}"/>
    <cellStyle name="Normal 4 2" xfId="8" xr:uid="{00000000-0005-0000-0000-000005000000}"/>
    <cellStyle name="Normal 5" xfId="4" xr:uid="{00000000-0005-0000-0000-000006000000}"/>
    <cellStyle name="Normal 5 2" xfId="9" xr:uid="{00000000-0005-0000-0000-000007000000}"/>
    <cellStyle name="Procent" xfId="10" builtinId="5"/>
    <cellStyle name="Procent 2" xfId="5" xr:uid="{00000000-0005-0000-0000-000008000000}"/>
    <cellStyle name="Virgulă 2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8"/>
  <sheetViews>
    <sheetView zoomScale="77" zoomScaleNormal="77" workbookViewId="0">
      <selection activeCell="H19" sqref="H19"/>
    </sheetView>
  </sheetViews>
  <sheetFormatPr defaultColWidth="9.28515625" defaultRowHeight="15" x14ac:dyDescent="0.25"/>
  <cols>
    <col min="1" max="1" width="3.5703125" style="1" bestFit="1" customWidth="1"/>
    <col min="2" max="2" width="46.85546875" style="1" customWidth="1"/>
    <col min="3" max="3" width="15.140625" style="1" customWidth="1"/>
    <col min="4" max="4" width="10.7109375" style="1" hidden="1" customWidth="1"/>
    <col min="5" max="5" width="11.42578125" style="1" hidden="1" customWidth="1"/>
    <col min="6" max="6" width="10.85546875" style="42" hidden="1" customWidth="1"/>
    <col min="7" max="7" width="10.42578125" style="42" customWidth="1"/>
    <col min="8" max="12" width="10.42578125" style="1" bestFit="1" customWidth="1"/>
    <col min="13" max="13" width="10.42578125" style="45" bestFit="1" customWidth="1"/>
    <col min="14" max="19" width="10.42578125" style="1" bestFit="1" customWidth="1"/>
    <col min="20" max="20" width="10.140625" style="1" bestFit="1" customWidth="1"/>
    <col min="21" max="21" width="10.28515625" style="1" customWidth="1"/>
    <col min="22" max="39" width="10.7109375" style="1" customWidth="1"/>
    <col min="40" max="16384" width="9.28515625" style="1"/>
  </cols>
  <sheetData>
    <row r="1" spans="1:40" s="81" customFormat="1" x14ac:dyDescent="0.25"/>
    <row r="2" spans="1:40" s="81" customFormat="1" x14ac:dyDescent="0.25"/>
    <row r="3" spans="1:40" s="81" customFormat="1" x14ac:dyDescent="0.25">
      <c r="B3" s="82" t="s">
        <v>88</v>
      </c>
      <c r="C3" s="83"/>
      <c r="D3" s="83"/>
    </row>
    <row r="4" spans="1:40" s="81" customFormat="1" x14ac:dyDescent="0.25"/>
    <row r="5" spans="1:40" s="85" customFormat="1" x14ac:dyDescent="0.25">
      <c r="A5" s="84"/>
      <c r="B5" s="84" t="s">
        <v>0</v>
      </c>
      <c r="C5" s="84"/>
      <c r="D5" s="84">
        <v>2018</v>
      </c>
      <c r="E5" s="84">
        <v>2019</v>
      </c>
      <c r="F5" s="84">
        <v>2020</v>
      </c>
      <c r="G5" s="84">
        <v>2021</v>
      </c>
      <c r="H5" s="84">
        <f>G5+1</f>
        <v>2022</v>
      </c>
      <c r="I5" s="84">
        <f t="shared" ref="I5:AM5" si="0">H5+1</f>
        <v>2023</v>
      </c>
      <c r="J5" s="84">
        <f t="shared" si="0"/>
        <v>2024</v>
      </c>
      <c r="K5" s="84">
        <f t="shared" si="0"/>
        <v>2025</v>
      </c>
      <c r="L5" s="84">
        <f t="shared" si="0"/>
        <v>2026</v>
      </c>
      <c r="M5" s="84">
        <f t="shared" si="0"/>
        <v>2027</v>
      </c>
      <c r="N5" s="84">
        <f t="shared" si="0"/>
        <v>2028</v>
      </c>
      <c r="O5" s="84">
        <f t="shared" si="0"/>
        <v>2029</v>
      </c>
      <c r="P5" s="84">
        <f t="shared" si="0"/>
        <v>2030</v>
      </c>
      <c r="Q5" s="84">
        <f t="shared" si="0"/>
        <v>2031</v>
      </c>
      <c r="R5" s="84">
        <f t="shared" si="0"/>
        <v>2032</v>
      </c>
      <c r="S5" s="84">
        <f t="shared" si="0"/>
        <v>2033</v>
      </c>
      <c r="T5" s="84">
        <f t="shared" si="0"/>
        <v>2034</v>
      </c>
      <c r="U5" s="84">
        <f t="shared" si="0"/>
        <v>2035</v>
      </c>
      <c r="V5" s="84">
        <f t="shared" si="0"/>
        <v>2036</v>
      </c>
      <c r="W5" s="84">
        <f t="shared" si="0"/>
        <v>2037</v>
      </c>
      <c r="X5" s="84">
        <f t="shared" si="0"/>
        <v>2038</v>
      </c>
      <c r="Y5" s="84">
        <f t="shared" si="0"/>
        <v>2039</v>
      </c>
      <c r="Z5" s="84">
        <f t="shared" si="0"/>
        <v>2040</v>
      </c>
      <c r="AA5" s="84">
        <f t="shared" si="0"/>
        <v>2041</v>
      </c>
      <c r="AB5" s="84">
        <f t="shared" si="0"/>
        <v>2042</v>
      </c>
      <c r="AC5" s="84">
        <f t="shared" si="0"/>
        <v>2043</v>
      </c>
      <c r="AD5" s="84">
        <f t="shared" si="0"/>
        <v>2044</v>
      </c>
      <c r="AE5" s="84">
        <f t="shared" si="0"/>
        <v>2045</v>
      </c>
      <c r="AF5" s="84">
        <f t="shared" si="0"/>
        <v>2046</v>
      </c>
      <c r="AG5" s="84">
        <f t="shared" si="0"/>
        <v>2047</v>
      </c>
      <c r="AH5" s="84">
        <f t="shared" si="0"/>
        <v>2048</v>
      </c>
      <c r="AI5" s="84">
        <f t="shared" si="0"/>
        <v>2049</v>
      </c>
      <c r="AJ5" s="84">
        <f t="shared" si="0"/>
        <v>2050</v>
      </c>
      <c r="AK5" s="84">
        <f t="shared" si="0"/>
        <v>2051</v>
      </c>
      <c r="AL5" s="84">
        <f t="shared" si="0"/>
        <v>2052</v>
      </c>
      <c r="AM5" s="84">
        <f t="shared" si="0"/>
        <v>2053</v>
      </c>
    </row>
    <row r="6" spans="1:40" s="81" customFormat="1" ht="30" x14ac:dyDescent="0.25">
      <c r="A6" s="86">
        <v>1</v>
      </c>
      <c r="B6" s="87" t="s">
        <v>52</v>
      </c>
      <c r="C6" s="88" t="s">
        <v>1</v>
      </c>
      <c r="D6" s="88"/>
      <c r="E6" s="89"/>
      <c r="F6" s="89"/>
      <c r="G6" s="89"/>
      <c r="H6" s="89"/>
      <c r="I6" s="89">
        <f t="shared" ref="I6:AB6" si="1">-I12*H29</f>
        <v>0</v>
      </c>
      <c r="J6" s="89">
        <f t="shared" si="1"/>
        <v>0</v>
      </c>
      <c r="K6" s="89">
        <f t="shared" si="1"/>
        <v>0</v>
      </c>
      <c r="L6" s="89">
        <f t="shared" si="1"/>
        <v>0</v>
      </c>
      <c r="M6" s="89">
        <f t="shared" si="1"/>
        <v>0</v>
      </c>
      <c r="N6" s="89">
        <f t="shared" si="1"/>
        <v>0</v>
      </c>
      <c r="O6" s="89">
        <f t="shared" si="1"/>
        <v>0</v>
      </c>
      <c r="P6" s="89">
        <f t="shared" si="1"/>
        <v>0</v>
      </c>
      <c r="Q6" s="89">
        <f t="shared" si="1"/>
        <v>0</v>
      </c>
      <c r="R6" s="89">
        <f t="shared" si="1"/>
        <v>0</v>
      </c>
      <c r="S6" s="89">
        <f t="shared" si="1"/>
        <v>0</v>
      </c>
      <c r="T6" s="89">
        <f t="shared" si="1"/>
        <v>0</v>
      </c>
      <c r="U6" s="89">
        <f t="shared" si="1"/>
        <v>0</v>
      </c>
      <c r="V6" s="89">
        <f t="shared" si="1"/>
        <v>0</v>
      </c>
      <c r="W6" s="89">
        <f t="shared" si="1"/>
        <v>0</v>
      </c>
      <c r="X6" s="89">
        <f t="shared" si="1"/>
        <v>0</v>
      </c>
      <c r="Y6" s="89">
        <f t="shared" si="1"/>
        <v>0</v>
      </c>
      <c r="Z6" s="89">
        <f t="shared" si="1"/>
        <v>0</v>
      </c>
      <c r="AA6" s="89">
        <f t="shared" si="1"/>
        <v>0</v>
      </c>
      <c r="AB6" s="89">
        <f t="shared" si="1"/>
        <v>0</v>
      </c>
      <c r="AC6" s="89">
        <f t="shared" ref="AC6" si="2">-AC12*AB29</f>
        <v>0</v>
      </c>
      <c r="AD6" s="89">
        <f t="shared" ref="AD6" si="3">-AD12*AC29</f>
        <v>0</v>
      </c>
      <c r="AE6" s="89">
        <f t="shared" ref="AE6" si="4">-AE12*AD29</f>
        <v>0</v>
      </c>
      <c r="AF6" s="89">
        <f t="shared" ref="AF6" si="5">-AF12*AE29</f>
        <v>0</v>
      </c>
      <c r="AG6" s="89">
        <f t="shared" ref="AG6" si="6">-AG12*AF29</f>
        <v>0</v>
      </c>
      <c r="AH6" s="89">
        <f t="shared" ref="AH6" si="7">-AH12*AG29</f>
        <v>0</v>
      </c>
      <c r="AI6" s="89">
        <f t="shared" ref="AI6" si="8">-AI12*AH29</f>
        <v>0</v>
      </c>
      <c r="AJ6" s="89">
        <f t="shared" ref="AJ6" si="9">-AJ12*AI29</f>
        <v>0</v>
      </c>
      <c r="AK6" s="89">
        <f t="shared" ref="AK6" si="10">-AK12*AJ29</f>
        <v>0</v>
      </c>
      <c r="AL6" s="89">
        <f t="shared" ref="AL6" si="11">-AL12*AK29</f>
        <v>0</v>
      </c>
      <c r="AM6" s="89">
        <f t="shared" ref="AM6" si="12">-AM12*AL29</f>
        <v>0</v>
      </c>
    </row>
    <row r="7" spans="1:40" s="81" customFormat="1" ht="30" x14ac:dyDescent="0.25">
      <c r="A7" s="86">
        <v>2</v>
      </c>
      <c r="B7" s="87" t="s">
        <v>2</v>
      </c>
      <c r="C7" s="88" t="s">
        <v>1</v>
      </c>
      <c r="D7" s="88"/>
      <c r="E7" s="89"/>
      <c r="F7" s="89"/>
      <c r="G7" s="89"/>
      <c r="H7" s="89"/>
      <c r="I7" s="89">
        <f t="shared" ref="I7" si="13">-(I10*H25)</f>
        <v>-5.6547828107545124</v>
      </c>
      <c r="J7" s="89">
        <f t="shared" ref="J7" si="14">-(J10*I25)</f>
        <v>-5.4801508663892049</v>
      </c>
      <c r="K7" s="89">
        <f t="shared" ref="K7" si="15">-(K10*J25)</f>
        <v>-5.3110645175386209</v>
      </c>
      <c r="L7" s="89">
        <f t="shared" ref="L7" si="16">-(L10*K25)</f>
        <v>-5.1473434059766969</v>
      </c>
      <c r="M7" s="89">
        <f t="shared" ref="M7" si="17">-(M10*L25)</f>
        <v>-4.9888131545036041</v>
      </c>
      <c r="N7" s="89">
        <f t="shared" ref="N7" si="18">-(N10*M25)</f>
        <v>-2.322361656867924</v>
      </c>
      <c r="O7" s="89">
        <f t="shared" ref="O7" si="19">-(O10*N25)</f>
        <v>-2.2790205824465981</v>
      </c>
      <c r="P7" s="89">
        <f t="shared" ref="P7" si="20">-(P10*O25)</f>
        <v>-2.2364883608267228</v>
      </c>
      <c r="Q7" s="89">
        <f t="shared" ref="Q7" si="21">-(Q10*P25)</f>
        <v>-2.1947498967927834</v>
      </c>
      <c r="R7" s="89">
        <f t="shared" ref="R7" si="22">-(R10*Q25)</f>
        <v>-2.1537903768439093</v>
      </c>
      <c r="S7" s="89">
        <f t="shared" ref="S7" si="23">-(S10*R25)</f>
        <v>-2.1135952639360633</v>
      </c>
      <c r="T7" s="89">
        <f t="shared" ref="T7" si="24">-(T10*S25)</f>
        <v>-2.0741502923228281</v>
      </c>
      <c r="U7" s="89">
        <f t="shared" ref="U7" si="25">-(U10*T25)</f>
        <v>-2.0354414624923618</v>
      </c>
      <c r="V7" s="89">
        <f t="shared" ref="V7" si="26">-(V10*U25)</f>
        <v>-1.9974550361985757</v>
      </c>
      <c r="W7" s="89">
        <f t="shared" ref="W7" si="27">-(W10*V25)</f>
        <v>-1.960177531585565</v>
      </c>
      <c r="X7" s="89">
        <f t="shared" ref="X7" si="28">-(X10*W25)</f>
        <v>-1.9235957184023154</v>
      </c>
      <c r="Y7" s="89">
        <f t="shared" ref="Y7" si="29">-(Y10*X25)</f>
        <v>-1.8876966133076445</v>
      </c>
      <c r="Z7" s="89">
        <f t="shared" ref="Z7" si="30">-(Z10*Y25)</f>
        <v>-1.8524674752617836</v>
      </c>
      <c r="AA7" s="89">
        <f t="shared" ref="AA7" si="31">-(AA10*Z25)</f>
        <v>-1.8178958010046968</v>
      </c>
      <c r="AB7" s="89">
        <f t="shared" ref="AB7" si="32">-(AB10*AA25)</f>
        <v>-1.7839693206184779</v>
      </c>
      <c r="AC7" s="89">
        <f t="shared" ref="AC7" si="33">-(AC10*AB25)</f>
        <v>-1.7506759931724019</v>
      </c>
      <c r="AD7" s="89">
        <f t="shared" ref="AD7" si="34">-(AD10*AC25)</f>
        <v>-1.7180040024498706</v>
      </c>
      <c r="AE7" s="89">
        <f t="shared" ref="AE7" si="35">-(AE10*AD25)</f>
        <v>-1.7008239624253263</v>
      </c>
      <c r="AF7" s="89">
        <f t="shared" ref="AF7" si="36">-(AF10*AE25)</f>
        <v>-1.6838157228010708</v>
      </c>
      <c r="AG7" s="89">
        <f t="shared" ref="AG7" si="37">-(AG10*AF25)</f>
        <v>-1.6669775655731027</v>
      </c>
      <c r="AH7" s="89">
        <f t="shared" ref="AH7" si="38">-(AH10*AG25)</f>
        <v>-1.6503077899173637</v>
      </c>
      <c r="AI7" s="89">
        <f t="shared" ref="AI7" si="39">-(AI10*AH25)</f>
        <v>-1.6338047120181698</v>
      </c>
      <c r="AJ7" s="89">
        <f t="shared" ref="AJ7" si="40">-(AJ10*AI25)</f>
        <v>-1.6174666648979961</v>
      </c>
      <c r="AK7" s="89">
        <f t="shared" ref="AK7" si="41">-(AK10*AJ25)</f>
        <v>-1.6012919982489928</v>
      </c>
      <c r="AL7" s="89">
        <f t="shared" ref="AL7" si="42">-(AL10*AK25)</f>
        <v>-1.5852790782665374</v>
      </c>
      <c r="AM7" s="89">
        <f t="shared" ref="AM7" si="43">-(AM10*AL25)</f>
        <v>-1.5694262874838398</v>
      </c>
    </row>
    <row r="8" spans="1:40" s="81" customFormat="1" ht="30" x14ac:dyDescent="0.25">
      <c r="A8" s="86">
        <v>3</v>
      </c>
      <c r="B8" s="87" t="s">
        <v>3</v>
      </c>
      <c r="C8" s="88" t="s">
        <v>4</v>
      </c>
      <c r="D8" s="88"/>
      <c r="E8" s="89"/>
      <c r="F8" s="89"/>
      <c r="G8" s="89"/>
      <c r="H8" s="89"/>
      <c r="I8" s="89">
        <f t="shared" ref="I8" si="44">-I14*0.035*H25*0.25</f>
        <v>-2.3104785059058983</v>
      </c>
      <c r="J8" s="89">
        <f t="shared" ref="J8" si="45">-J14*0.035*I25*0.25</f>
        <v>-2.2423104988983162</v>
      </c>
      <c r="K8" s="89">
        <f t="shared" ref="K8" si="46">-K14*0.035*J25*0.25</f>
        <v>-2.1762184675044929</v>
      </c>
      <c r="L8" s="89">
        <f t="shared" ref="L8" si="47">-L14*0.035*K25*0.25</f>
        <v>-2.1121373011115323</v>
      </c>
      <c r="M8" s="89">
        <f t="shared" ref="M8" si="48">-M14*0.035*L25*0.25</f>
        <v>-2.0500039846248996</v>
      </c>
      <c r="N8" s="89">
        <f t="shared" ref="N8" si="49">-N14*0.035*M25*0.25</f>
        <v>-2.0117457852618377</v>
      </c>
      <c r="O8" s="89">
        <f t="shared" ref="O8" si="50">-O14*0.035*N25*0.25</f>
        <v>-1.974201579544389</v>
      </c>
      <c r="P8" s="89">
        <f t="shared" ref="P8" si="51">-P14*0.035*O25*0.25</f>
        <v>-1.9373580425661419</v>
      </c>
      <c r="Q8" s="89">
        <f t="shared" ref="Q8" si="52">-Q14*0.035*P25*0.25</f>
        <v>-1.9012020980967508</v>
      </c>
      <c r="R8" s="89">
        <f t="shared" ref="R8" si="53">-R14*0.035*Q25*0.25</f>
        <v>-1.86572091394102</v>
      </c>
      <c r="S8" s="89">
        <f t="shared" ref="S8" si="54">-S14*0.035*R25*0.25</f>
        <v>-1.8309018973845959</v>
      </c>
      <c r="T8" s="89">
        <f t="shared" ref="T8" si="55">-T14*0.035*S25*0.25</f>
        <v>-1.7967326907246557</v>
      </c>
      <c r="U8" s="89">
        <f t="shared" ref="U8" si="56">-U14*0.035*T25*0.25</f>
        <v>-1.7632011668840069</v>
      </c>
      <c r="V8" s="89">
        <f t="shared" ref="V8" si="57">-V14*0.035*U25*0.25</f>
        <v>-1.7302954251070342</v>
      </c>
      <c r="W8" s="89">
        <f t="shared" ref="W8" si="58">-W14*0.035*V25*0.25</f>
        <v>-1.6980037867359741</v>
      </c>
      <c r="X8" s="89">
        <f t="shared" ref="X8" si="59">-X14*0.035*W25*0.25</f>
        <v>-1.6663147910660137</v>
      </c>
      <c r="Y8" s="89">
        <f t="shared" ref="Y8" si="60">-Y14*0.035*X25*0.25</f>
        <v>-1.6352171912777442</v>
      </c>
      <c r="Z8" s="89">
        <f t="shared" ref="Z8" si="61">-Z14*0.035*Y25*0.25</f>
        <v>-1.6046999504455235</v>
      </c>
      <c r="AA8" s="89">
        <f t="shared" ref="AA8" si="62">-AA14*0.035*Z25*0.25</f>
        <v>-1.5747522376203342</v>
      </c>
      <c r="AB8" s="89">
        <f t="shared" ref="AB8" si="63">-AB14*0.035*AA25*0.25</f>
        <v>-1.5453634239857448</v>
      </c>
      <c r="AC8" s="89">
        <f t="shared" ref="AC8" si="64">-AC14*0.035*AB25*0.25</f>
        <v>-1.516523079085611</v>
      </c>
      <c r="AD8" s="89">
        <v>0</v>
      </c>
      <c r="AE8" s="89">
        <v>0</v>
      </c>
      <c r="AF8" s="89">
        <v>0</v>
      </c>
      <c r="AG8" s="89">
        <v>0</v>
      </c>
      <c r="AH8" s="89">
        <v>0</v>
      </c>
      <c r="AI8" s="89">
        <v>0</v>
      </c>
      <c r="AJ8" s="89">
        <v>0</v>
      </c>
      <c r="AK8" s="89">
        <v>0</v>
      </c>
      <c r="AL8" s="89">
        <v>0</v>
      </c>
      <c r="AM8" s="89">
        <v>0</v>
      </c>
    </row>
    <row r="9" spans="1:40" s="81" customFormat="1" ht="30" x14ac:dyDescent="0.25">
      <c r="A9" s="86">
        <v>4</v>
      </c>
      <c r="B9" s="87" t="s">
        <v>53</v>
      </c>
      <c r="C9" s="88" t="s">
        <v>1</v>
      </c>
      <c r="D9" s="88"/>
      <c r="E9" s="90"/>
      <c r="F9" s="90"/>
      <c r="G9" s="90"/>
      <c r="H9" s="89"/>
      <c r="I9" s="89">
        <f>-I15*H29*0.07*0.25</f>
        <v>-1.476297081</v>
      </c>
      <c r="J9" s="89">
        <f t="shared" ref="J9:R9" si="65">-J15*I29*0.07*0.25</f>
        <v>-1.4504618820825002</v>
      </c>
      <c r="K9" s="89">
        <f t="shared" si="65"/>
        <v>-1.4250787991460563</v>
      </c>
      <c r="L9" s="89">
        <f t="shared" si="65"/>
        <v>-1.4001399201610003</v>
      </c>
      <c r="M9" s="89">
        <f t="shared" si="65"/>
        <v>-1.3756374715581829</v>
      </c>
      <c r="N9" s="89">
        <f t="shared" si="65"/>
        <v>-1.3515638158059144</v>
      </c>
      <c r="O9" s="89">
        <f t="shared" si="65"/>
        <v>-1.3279114490293114</v>
      </c>
      <c r="P9" s="89">
        <f t="shared" si="65"/>
        <v>-1.3046729986712982</v>
      </c>
      <c r="Q9" s="89">
        <f t="shared" si="65"/>
        <v>-1.2818412211945507</v>
      </c>
      <c r="R9" s="89">
        <f t="shared" si="65"/>
        <v>-1.259408999823646</v>
      </c>
      <c r="S9" s="89">
        <v>0</v>
      </c>
      <c r="T9" s="89">
        <v>0</v>
      </c>
      <c r="U9" s="89">
        <v>0</v>
      </c>
      <c r="V9" s="89">
        <v>0</v>
      </c>
      <c r="W9" s="89">
        <v>0</v>
      </c>
      <c r="X9" s="89">
        <v>0</v>
      </c>
      <c r="Y9" s="89">
        <v>0</v>
      </c>
      <c r="Z9" s="89">
        <v>0</v>
      </c>
      <c r="AA9" s="89">
        <v>0</v>
      </c>
      <c r="AB9" s="89">
        <v>0</v>
      </c>
      <c r="AC9" s="89">
        <v>0</v>
      </c>
      <c r="AD9" s="89">
        <v>0</v>
      </c>
      <c r="AE9" s="89">
        <v>0</v>
      </c>
      <c r="AF9" s="89">
        <v>0</v>
      </c>
      <c r="AG9" s="89">
        <v>0</v>
      </c>
      <c r="AH9" s="89">
        <v>0</v>
      </c>
      <c r="AI9" s="89">
        <v>0</v>
      </c>
      <c r="AJ9" s="89">
        <v>0</v>
      </c>
      <c r="AK9" s="89">
        <v>0</v>
      </c>
      <c r="AL9" s="89">
        <v>0</v>
      </c>
      <c r="AM9" s="89">
        <v>0</v>
      </c>
    </row>
    <row r="10" spans="1:40" s="81" customFormat="1" x14ac:dyDescent="0.25">
      <c r="A10" s="86">
        <v>5</v>
      </c>
      <c r="B10" s="87" t="s">
        <v>73</v>
      </c>
      <c r="C10" s="88" t="s">
        <v>5</v>
      </c>
      <c r="D10" s="88"/>
      <c r="E10" s="91"/>
      <c r="F10" s="92">
        <f>F34</f>
        <v>549</v>
      </c>
      <c r="G10" s="92">
        <f t="shared" ref="G10:AB10" si="66">G34</f>
        <v>485</v>
      </c>
      <c r="H10" s="92">
        <f t="shared" si="66"/>
        <v>322.90880000000107</v>
      </c>
      <c r="I10" s="92">
        <f t="shared" si="66"/>
        <v>315.68999319999784</v>
      </c>
      <c r="J10" s="92">
        <f t="shared" si="66"/>
        <v>308.64141464112981</v>
      </c>
      <c r="K10" s="92">
        <f t="shared" si="66"/>
        <v>301.7588827452837</v>
      </c>
      <c r="L10" s="92">
        <f t="shared" si="66"/>
        <v>295.03832165510539</v>
      </c>
      <c r="M10" s="92">
        <f t="shared" si="66"/>
        <v>288.47575850939211</v>
      </c>
      <c r="N10" s="92">
        <f t="shared" si="66"/>
        <v>135.47486829249101</v>
      </c>
      <c r="O10" s="92">
        <f t="shared" si="66"/>
        <v>134.12011960956443</v>
      </c>
      <c r="P10" s="92">
        <f t="shared" si="66"/>
        <v>132.77891841347082</v>
      </c>
      <c r="Q10" s="92">
        <f t="shared" si="66"/>
        <v>131.45112922933549</v>
      </c>
      <c r="R10" s="92">
        <f t="shared" si="66"/>
        <v>130.13661793704341</v>
      </c>
      <c r="S10" s="92">
        <f t="shared" si="66"/>
        <v>128.83525175767318</v>
      </c>
      <c r="T10" s="92">
        <f t="shared" si="66"/>
        <v>127.54689924009472</v>
      </c>
      <c r="U10" s="92">
        <f t="shared" si="66"/>
        <v>126.2714302476943</v>
      </c>
      <c r="V10" s="92">
        <f t="shared" si="66"/>
        <v>125.00871594521595</v>
      </c>
      <c r="W10" s="92">
        <f t="shared" si="66"/>
        <v>123.75862878576663</v>
      </c>
      <c r="X10" s="92">
        <f t="shared" si="66"/>
        <v>122.52104249790682</v>
      </c>
      <c r="Y10" s="92">
        <f t="shared" si="66"/>
        <v>121.29583207292853</v>
      </c>
      <c r="Z10" s="92">
        <f t="shared" si="66"/>
        <v>120.08287375219879</v>
      </c>
      <c r="AA10" s="92">
        <f t="shared" si="66"/>
        <v>118.8820450146759</v>
      </c>
      <c r="AB10" s="92">
        <f t="shared" si="66"/>
        <v>117.69322456453119</v>
      </c>
      <c r="AC10" s="92">
        <f t="shared" ref="AC10:AM10" si="67">AC34</f>
        <v>116.51629231888364</v>
      </c>
      <c r="AD10" s="92">
        <f t="shared" si="67"/>
        <v>115.35112939569808</v>
      </c>
      <c r="AE10" s="92">
        <f t="shared" si="67"/>
        <v>114.19761810173804</v>
      </c>
      <c r="AF10" s="92">
        <f t="shared" si="67"/>
        <v>113.05564192072052</v>
      </c>
      <c r="AG10" s="92">
        <f t="shared" si="67"/>
        <v>111.92508550151615</v>
      </c>
      <c r="AH10" s="92">
        <f t="shared" si="67"/>
        <v>110.80583464650044</v>
      </c>
      <c r="AI10" s="92">
        <f t="shared" si="67"/>
        <v>109.69777630003409</v>
      </c>
      <c r="AJ10" s="92">
        <f t="shared" si="67"/>
        <v>108.60079853703428</v>
      </c>
      <c r="AK10" s="92">
        <f t="shared" si="67"/>
        <v>107.51479055166237</v>
      </c>
      <c r="AL10" s="92">
        <f t="shared" si="67"/>
        <v>106.43964264614806</v>
      </c>
      <c r="AM10" s="92">
        <f t="shared" si="67"/>
        <v>105.37524621968441</v>
      </c>
    </row>
    <row r="11" spans="1:40" s="81" customFormat="1" x14ac:dyDescent="0.25">
      <c r="A11" s="86">
        <v>6</v>
      </c>
      <c r="B11" s="87" t="s">
        <v>87</v>
      </c>
      <c r="C11" s="88" t="s">
        <v>5</v>
      </c>
      <c r="D11" s="88"/>
      <c r="E11" s="93"/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4">
        <v>0</v>
      </c>
      <c r="L11" s="94">
        <v>0</v>
      </c>
      <c r="M11" s="94">
        <v>0</v>
      </c>
      <c r="N11" s="94">
        <v>0</v>
      </c>
      <c r="O11" s="94">
        <v>0</v>
      </c>
      <c r="P11" s="94">
        <v>0</v>
      </c>
      <c r="Q11" s="94">
        <v>0</v>
      </c>
      <c r="R11" s="94">
        <v>0</v>
      </c>
      <c r="S11" s="94">
        <v>0</v>
      </c>
      <c r="T11" s="94">
        <v>0</v>
      </c>
      <c r="U11" s="94">
        <v>0</v>
      </c>
      <c r="V11" s="94">
        <v>0</v>
      </c>
      <c r="W11" s="94">
        <v>0</v>
      </c>
      <c r="X11" s="94">
        <v>0</v>
      </c>
      <c r="Y11" s="94">
        <v>0</v>
      </c>
      <c r="Z11" s="94">
        <v>0</v>
      </c>
      <c r="AA11" s="94">
        <v>0</v>
      </c>
      <c r="AB11" s="94">
        <v>0</v>
      </c>
      <c r="AC11" s="94">
        <v>0</v>
      </c>
      <c r="AD11" s="94">
        <v>0</v>
      </c>
      <c r="AE11" s="94">
        <v>0</v>
      </c>
      <c r="AF11" s="94">
        <v>0</v>
      </c>
      <c r="AG11" s="94">
        <v>0</v>
      </c>
      <c r="AH11" s="94">
        <v>0</v>
      </c>
      <c r="AI11" s="94">
        <v>0</v>
      </c>
      <c r="AJ11" s="94">
        <v>0</v>
      </c>
      <c r="AK11" s="94">
        <v>0</v>
      </c>
      <c r="AL11" s="94">
        <v>0</v>
      </c>
      <c r="AM11" s="94">
        <v>0</v>
      </c>
    </row>
    <row r="12" spans="1:40" s="81" customFormat="1" ht="30" x14ac:dyDescent="0.25">
      <c r="A12" s="86">
        <v>7</v>
      </c>
      <c r="B12" s="87" t="s">
        <v>72</v>
      </c>
      <c r="C12" s="88" t="s">
        <v>6</v>
      </c>
      <c r="D12" s="88"/>
      <c r="E12" s="95"/>
      <c r="F12" s="93"/>
      <c r="G12" s="93"/>
      <c r="H12" s="93"/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94">
        <v>0</v>
      </c>
      <c r="O12" s="94">
        <v>0</v>
      </c>
      <c r="P12" s="94">
        <v>0</v>
      </c>
      <c r="Q12" s="94">
        <v>0</v>
      </c>
      <c r="R12" s="94">
        <v>0</v>
      </c>
      <c r="S12" s="94">
        <v>0</v>
      </c>
      <c r="T12" s="94">
        <v>0</v>
      </c>
      <c r="U12" s="94">
        <v>0</v>
      </c>
      <c r="V12" s="94">
        <v>0</v>
      </c>
      <c r="W12" s="94">
        <v>0</v>
      </c>
      <c r="X12" s="94">
        <v>0</v>
      </c>
      <c r="Y12" s="94">
        <v>0</v>
      </c>
      <c r="Z12" s="94">
        <v>0</v>
      </c>
      <c r="AA12" s="94">
        <v>0</v>
      </c>
      <c r="AB12" s="94">
        <v>0</v>
      </c>
      <c r="AC12" s="94">
        <v>0</v>
      </c>
      <c r="AD12" s="94">
        <v>0</v>
      </c>
      <c r="AE12" s="94">
        <v>0</v>
      </c>
      <c r="AF12" s="94">
        <v>0</v>
      </c>
      <c r="AG12" s="94">
        <v>0</v>
      </c>
      <c r="AH12" s="94">
        <v>0</v>
      </c>
      <c r="AI12" s="94">
        <v>0</v>
      </c>
      <c r="AJ12" s="94">
        <v>0</v>
      </c>
      <c r="AK12" s="94">
        <v>0</v>
      </c>
      <c r="AL12" s="94">
        <v>0</v>
      </c>
      <c r="AM12" s="94">
        <v>0</v>
      </c>
    </row>
    <row r="13" spans="1:40" s="81" customFormat="1" ht="30" x14ac:dyDescent="0.25">
      <c r="A13" s="86">
        <v>8</v>
      </c>
      <c r="B13" s="87" t="s">
        <v>71</v>
      </c>
      <c r="C13" s="88" t="s">
        <v>6</v>
      </c>
      <c r="D13" s="88"/>
      <c r="E13" s="94"/>
      <c r="F13" s="94"/>
      <c r="G13" s="94"/>
      <c r="H13" s="94"/>
      <c r="I13" s="94">
        <v>0</v>
      </c>
      <c r="J13" s="94">
        <v>0</v>
      </c>
      <c r="K13" s="94">
        <v>0</v>
      </c>
      <c r="L13" s="94">
        <v>0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  <c r="S13" s="94">
        <v>0</v>
      </c>
      <c r="T13" s="94">
        <v>0</v>
      </c>
      <c r="U13" s="94">
        <v>0</v>
      </c>
      <c r="V13" s="94">
        <v>0</v>
      </c>
      <c r="W13" s="94">
        <v>0</v>
      </c>
      <c r="X13" s="94">
        <v>0</v>
      </c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4">
        <v>0</v>
      </c>
      <c r="AF13" s="94">
        <v>0</v>
      </c>
      <c r="AG13" s="94">
        <v>0</v>
      </c>
      <c r="AH13" s="94">
        <v>0</v>
      </c>
      <c r="AI13" s="94">
        <v>0</v>
      </c>
      <c r="AJ13" s="94">
        <v>0</v>
      </c>
      <c r="AK13" s="94">
        <v>0</v>
      </c>
      <c r="AL13" s="94">
        <v>0</v>
      </c>
      <c r="AM13" s="94">
        <v>0</v>
      </c>
    </row>
    <row r="14" spans="1:40" s="81" customFormat="1" x14ac:dyDescent="0.25">
      <c r="A14" s="86">
        <v>9</v>
      </c>
      <c r="B14" s="87" t="s">
        <v>68</v>
      </c>
      <c r="C14" s="88" t="s">
        <v>5</v>
      </c>
      <c r="D14" s="92">
        <f>D33</f>
        <v>16856</v>
      </c>
      <c r="E14" s="92">
        <f t="shared" ref="E14" si="68">E33</f>
        <v>16414</v>
      </c>
      <c r="F14" s="92">
        <f>F33</f>
        <v>15865</v>
      </c>
      <c r="G14" s="92">
        <f t="shared" ref="G14:H14" si="69">F14-G10</f>
        <v>15380</v>
      </c>
      <c r="H14" s="92">
        <f t="shared" si="69"/>
        <v>15057.091199999999</v>
      </c>
      <c r="I14" s="92">
        <f t="shared" ref="I14" si="70">H14-I10</f>
        <v>14741.401206800001</v>
      </c>
      <c r="J14" s="92">
        <f t="shared" ref="J14" si="71">I14-J10</f>
        <v>14432.759792158871</v>
      </c>
      <c r="K14" s="92">
        <f t="shared" ref="K14" si="72">J14-K10</f>
        <v>14131.000909413588</v>
      </c>
      <c r="L14" s="92">
        <f t="shared" ref="L14" si="73">K14-L10</f>
        <v>13835.962587758482</v>
      </c>
      <c r="M14" s="92">
        <f t="shared" ref="M14" si="74">L14-M10</f>
        <v>13547.48682924909</v>
      </c>
      <c r="N14" s="92">
        <f t="shared" ref="N14" si="75">M14-N10</f>
        <v>13412.011960956599</v>
      </c>
      <c r="O14" s="92">
        <f t="shared" ref="O14" si="76">N14-O10</f>
        <v>13277.891841347035</v>
      </c>
      <c r="P14" s="92">
        <f t="shared" ref="P14" si="77">O14-P10</f>
        <v>13145.112922933564</v>
      </c>
      <c r="Q14" s="92">
        <f t="shared" ref="Q14" si="78">P14-Q10</f>
        <v>13013.661793704228</v>
      </c>
      <c r="R14" s="92">
        <f t="shared" ref="R14" si="79">Q14-R10</f>
        <v>12883.525175767185</v>
      </c>
      <c r="S14" s="92">
        <f t="shared" ref="S14" si="80">R14-S10</f>
        <v>12754.689924009512</v>
      </c>
      <c r="T14" s="92">
        <f t="shared" ref="T14" si="81">S14-T10</f>
        <v>12627.143024769417</v>
      </c>
      <c r="U14" s="92">
        <f t="shared" ref="U14" si="82">T14-U10</f>
        <v>12500.871594521723</v>
      </c>
      <c r="V14" s="92">
        <f t="shared" ref="V14" si="83">U14-V10</f>
        <v>12375.862878576507</v>
      </c>
      <c r="W14" s="92">
        <f t="shared" ref="W14" si="84">V14-W10</f>
        <v>12252.10424979074</v>
      </c>
      <c r="X14" s="92">
        <f t="shared" ref="X14" si="85">W14-X10</f>
        <v>12129.583207292833</v>
      </c>
      <c r="Y14" s="92">
        <f t="shared" ref="Y14" si="86">X14-Y10</f>
        <v>12008.287375219905</v>
      </c>
      <c r="Z14" s="92">
        <f t="shared" ref="Z14" si="87">Y14-Z10</f>
        <v>11888.204501467706</v>
      </c>
      <c r="AA14" s="92">
        <f t="shared" ref="AA14" si="88">Z14-AA10</f>
        <v>11769.32245645303</v>
      </c>
      <c r="AB14" s="92">
        <f t="shared" ref="AB14" si="89">AA14-AB10</f>
        <v>11651.629231888499</v>
      </c>
      <c r="AC14" s="92">
        <f t="shared" ref="AC14" si="90">AB14-AC10</f>
        <v>11535.112939569615</v>
      </c>
      <c r="AD14" s="92">
        <f t="shared" ref="AD14" si="91">AC14-AD10</f>
        <v>11419.761810173917</v>
      </c>
      <c r="AE14" s="92">
        <f t="shared" ref="AE14" si="92">AD14-AE10</f>
        <v>11305.564192072179</v>
      </c>
      <c r="AF14" s="92">
        <f t="shared" ref="AF14" si="93">AE14-AF10</f>
        <v>11192.508550151459</v>
      </c>
      <c r="AG14" s="92">
        <f t="shared" ref="AG14" si="94">AF14-AG10</f>
        <v>11080.583464649942</v>
      </c>
      <c r="AH14" s="92">
        <f t="shared" ref="AH14" si="95">AG14-AH10</f>
        <v>10969.777630003442</v>
      </c>
      <c r="AI14" s="92">
        <f t="shared" ref="AI14" si="96">AH14-AI10</f>
        <v>10860.079853703408</v>
      </c>
      <c r="AJ14" s="92">
        <f t="shared" ref="AJ14" si="97">AI14-AJ10</f>
        <v>10751.479055166374</v>
      </c>
      <c r="AK14" s="92">
        <f t="shared" ref="AK14" si="98">AJ14-AK10</f>
        <v>10643.964264614711</v>
      </c>
      <c r="AL14" s="92">
        <f t="shared" ref="AL14" si="99">AK14-AL10</f>
        <v>10537.524621968563</v>
      </c>
      <c r="AM14" s="92">
        <f t="shared" ref="AM14" si="100">AL14-AM10</f>
        <v>10432.149375748879</v>
      </c>
    </row>
    <row r="15" spans="1:40" s="97" customFormat="1" ht="30" x14ac:dyDescent="0.25">
      <c r="A15" s="86">
        <v>10</v>
      </c>
      <c r="B15" s="87" t="s">
        <v>76</v>
      </c>
      <c r="C15" s="88" t="s">
        <v>6</v>
      </c>
      <c r="D15" s="88">
        <f>507+31+109</f>
        <v>647</v>
      </c>
      <c r="E15" s="96">
        <f>493+105</f>
        <v>598</v>
      </c>
      <c r="F15" s="96">
        <f>480+106</f>
        <v>586</v>
      </c>
      <c r="G15" s="96">
        <f>104+36+455</f>
        <v>595</v>
      </c>
      <c r="H15" s="96">
        <v>542</v>
      </c>
      <c r="I15" s="96">
        <f>H15-I12</f>
        <v>542</v>
      </c>
      <c r="J15" s="96">
        <f t="shared" ref="J15" si="101">I15-J12</f>
        <v>542</v>
      </c>
      <c r="K15" s="96">
        <f t="shared" ref="K15" si="102">J15-K12</f>
        <v>542</v>
      </c>
      <c r="L15" s="96">
        <f t="shared" ref="L15" si="103">K15-L12</f>
        <v>542</v>
      </c>
      <c r="M15" s="96">
        <f t="shared" ref="M15" si="104">L15-M12</f>
        <v>542</v>
      </c>
      <c r="N15" s="96">
        <f t="shared" ref="N15" si="105">M15-N12</f>
        <v>542</v>
      </c>
      <c r="O15" s="96">
        <f t="shared" ref="O15" si="106">N15-O12</f>
        <v>542</v>
      </c>
      <c r="P15" s="96">
        <f t="shared" ref="P15" si="107">O15-P12</f>
        <v>542</v>
      </c>
      <c r="Q15" s="96">
        <f t="shared" ref="Q15" si="108">P15-Q12</f>
        <v>542</v>
      </c>
      <c r="R15" s="96">
        <f t="shared" ref="R15" si="109">Q15-R12</f>
        <v>542</v>
      </c>
      <c r="S15" s="96">
        <f t="shared" ref="S15" si="110">R15-S12</f>
        <v>542</v>
      </c>
      <c r="T15" s="96">
        <f t="shared" ref="T15" si="111">S15-T12</f>
        <v>542</v>
      </c>
      <c r="U15" s="96">
        <f t="shared" ref="U15" si="112">T15-U12</f>
        <v>542</v>
      </c>
      <c r="V15" s="96">
        <f t="shared" ref="V15" si="113">U15-V12</f>
        <v>542</v>
      </c>
      <c r="W15" s="96">
        <f t="shared" ref="W15" si="114">V15-W12</f>
        <v>542</v>
      </c>
      <c r="X15" s="96">
        <f t="shared" ref="X15" si="115">W15-X12</f>
        <v>542</v>
      </c>
      <c r="Y15" s="96">
        <f t="shared" ref="Y15" si="116">X15-Y12</f>
        <v>542</v>
      </c>
      <c r="Z15" s="96">
        <f t="shared" ref="Z15" si="117">Y15-Z12</f>
        <v>542</v>
      </c>
      <c r="AA15" s="96">
        <f t="shared" ref="AA15" si="118">Z15-AA12</f>
        <v>542</v>
      </c>
      <c r="AB15" s="96">
        <f t="shared" ref="AB15" si="119">AA15-AB12</f>
        <v>542</v>
      </c>
      <c r="AC15" s="96">
        <f t="shared" ref="AC15" si="120">AB15-AC12</f>
        <v>542</v>
      </c>
      <c r="AD15" s="96">
        <f t="shared" ref="AD15" si="121">AC15-AD12</f>
        <v>542</v>
      </c>
      <c r="AE15" s="96">
        <f t="shared" ref="AE15" si="122">AD15-AE12</f>
        <v>542</v>
      </c>
      <c r="AF15" s="96">
        <f t="shared" ref="AF15" si="123">AE15-AF12</f>
        <v>542</v>
      </c>
      <c r="AG15" s="96">
        <f t="shared" ref="AG15" si="124">AF15-AG12</f>
        <v>542</v>
      </c>
      <c r="AH15" s="96">
        <f t="shared" ref="AH15" si="125">AG15-AH12</f>
        <v>542</v>
      </c>
      <c r="AI15" s="96">
        <f t="shared" ref="AI15" si="126">AH15-AI12</f>
        <v>542</v>
      </c>
      <c r="AJ15" s="96">
        <f t="shared" ref="AJ15" si="127">AI15-AJ12</f>
        <v>542</v>
      </c>
      <c r="AK15" s="96">
        <f t="shared" ref="AK15" si="128">AJ15-AK12</f>
        <v>542</v>
      </c>
      <c r="AL15" s="96">
        <f t="shared" ref="AL15" si="129">AK15-AL12</f>
        <v>542</v>
      </c>
      <c r="AM15" s="96">
        <f t="shared" ref="AM15" si="130">AL15-AM12</f>
        <v>542</v>
      </c>
    </row>
    <row r="16" spans="1:40" s="81" customFormat="1" x14ac:dyDescent="0.25">
      <c r="A16" s="86">
        <v>11</v>
      </c>
      <c r="B16" s="98" t="s">
        <v>7</v>
      </c>
      <c r="C16" s="99" t="s">
        <v>1</v>
      </c>
      <c r="D16" s="99"/>
      <c r="E16" s="100"/>
      <c r="F16" s="100"/>
      <c r="G16" s="100"/>
      <c r="H16" s="101"/>
      <c r="I16" s="101">
        <f t="shared" ref="I16" si="131">I7+I8</f>
        <v>-7.9652613166604107</v>
      </c>
      <c r="J16" s="101">
        <f>J7+J8</f>
        <v>-7.7224613652875211</v>
      </c>
      <c r="K16" s="101">
        <f t="shared" ref="K16:AB16" si="132">K7+K8</f>
        <v>-7.4872829850431142</v>
      </c>
      <c r="L16" s="101">
        <f t="shared" si="132"/>
        <v>-7.2594807070882297</v>
      </c>
      <c r="M16" s="101">
        <f t="shared" si="132"/>
        <v>-7.0388171391285042</v>
      </c>
      <c r="N16" s="101">
        <f t="shared" si="132"/>
        <v>-4.3341074421297616</v>
      </c>
      <c r="O16" s="101">
        <f t="shared" si="132"/>
        <v>-4.2532221619909869</v>
      </c>
      <c r="P16" s="101">
        <f t="shared" si="132"/>
        <v>-4.1738464033928651</v>
      </c>
      <c r="Q16" s="101">
        <f t="shared" si="132"/>
        <v>-4.0959519948895338</v>
      </c>
      <c r="R16" s="101">
        <f t="shared" si="132"/>
        <v>-4.0195112907849291</v>
      </c>
      <c r="S16" s="101">
        <f t="shared" si="132"/>
        <v>-3.9444971613206592</v>
      </c>
      <c r="T16" s="101">
        <f t="shared" si="132"/>
        <v>-3.8708829830474838</v>
      </c>
      <c r="U16" s="101">
        <f t="shared" si="132"/>
        <v>-3.7986426293763689</v>
      </c>
      <c r="V16" s="101">
        <f t="shared" si="132"/>
        <v>-3.7277504613056101</v>
      </c>
      <c r="W16" s="101">
        <f t="shared" si="132"/>
        <v>-3.6581813183215388</v>
      </c>
      <c r="X16" s="101">
        <f t="shared" si="132"/>
        <v>-3.589910509468329</v>
      </c>
      <c r="Y16" s="101">
        <f t="shared" si="132"/>
        <v>-3.5229138045853885</v>
      </c>
      <c r="Z16" s="101">
        <f t="shared" si="132"/>
        <v>-3.4571674257073068</v>
      </c>
      <c r="AA16" s="101">
        <f t="shared" si="132"/>
        <v>-3.3926480386250311</v>
      </c>
      <c r="AB16" s="101">
        <f t="shared" si="132"/>
        <v>-3.3293327446042227</v>
      </c>
      <c r="AC16" s="101">
        <f t="shared" ref="AC16:AM16" si="133">AC7+AC8</f>
        <v>-3.2671990722580126</v>
      </c>
      <c r="AD16" s="101">
        <f t="shared" si="133"/>
        <v>-1.7180040024498706</v>
      </c>
      <c r="AE16" s="101">
        <f t="shared" si="133"/>
        <v>-1.7008239624253263</v>
      </c>
      <c r="AF16" s="101">
        <f t="shared" si="133"/>
        <v>-1.6838157228010708</v>
      </c>
      <c r="AG16" s="101">
        <f t="shared" si="133"/>
        <v>-1.6669775655731027</v>
      </c>
      <c r="AH16" s="101">
        <f t="shared" si="133"/>
        <v>-1.6503077899173637</v>
      </c>
      <c r="AI16" s="101">
        <f t="shared" si="133"/>
        <v>-1.6338047120181698</v>
      </c>
      <c r="AJ16" s="101">
        <f t="shared" si="133"/>
        <v>-1.6174666648979961</v>
      </c>
      <c r="AK16" s="101">
        <f t="shared" si="133"/>
        <v>-1.6012919982489928</v>
      </c>
      <c r="AL16" s="101">
        <f t="shared" si="133"/>
        <v>-1.5852790782665374</v>
      </c>
      <c r="AM16" s="101">
        <f t="shared" si="133"/>
        <v>-1.5694262874838398</v>
      </c>
      <c r="AN16" s="102"/>
    </row>
    <row r="17" spans="1:40" s="81" customFormat="1" ht="30" x14ac:dyDescent="0.25">
      <c r="A17" s="86">
        <v>12</v>
      </c>
      <c r="B17" s="98" t="s">
        <v>67</v>
      </c>
      <c r="C17" s="99" t="s">
        <v>1</v>
      </c>
      <c r="D17" s="99"/>
      <c r="E17" s="100"/>
      <c r="F17" s="100"/>
      <c r="G17" s="100"/>
      <c r="H17" s="101"/>
      <c r="I17" s="101">
        <f t="shared" ref="I17:AB17" si="134">I6+I9</f>
        <v>-1.476297081</v>
      </c>
      <c r="J17" s="101">
        <f t="shared" si="134"/>
        <v>-1.4504618820825002</v>
      </c>
      <c r="K17" s="101">
        <f t="shared" si="134"/>
        <v>-1.4250787991460563</v>
      </c>
      <c r="L17" s="101">
        <f t="shared" si="134"/>
        <v>-1.4001399201610003</v>
      </c>
      <c r="M17" s="101">
        <f t="shared" si="134"/>
        <v>-1.3756374715581829</v>
      </c>
      <c r="N17" s="101">
        <f t="shared" si="134"/>
        <v>-1.3515638158059144</v>
      </c>
      <c r="O17" s="101">
        <f t="shared" si="134"/>
        <v>-1.3279114490293114</v>
      </c>
      <c r="P17" s="101">
        <f t="shared" si="134"/>
        <v>-1.3046729986712982</v>
      </c>
      <c r="Q17" s="101">
        <f t="shared" si="134"/>
        <v>-1.2818412211945507</v>
      </c>
      <c r="R17" s="101">
        <f t="shared" si="134"/>
        <v>-1.259408999823646</v>
      </c>
      <c r="S17" s="101">
        <f t="shared" si="134"/>
        <v>0</v>
      </c>
      <c r="T17" s="101">
        <f t="shared" si="134"/>
        <v>0</v>
      </c>
      <c r="U17" s="101">
        <f t="shared" si="134"/>
        <v>0</v>
      </c>
      <c r="V17" s="101">
        <f t="shared" si="134"/>
        <v>0</v>
      </c>
      <c r="W17" s="101">
        <f t="shared" si="134"/>
        <v>0</v>
      </c>
      <c r="X17" s="101">
        <f t="shared" si="134"/>
        <v>0</v>
      </c>
      <c r="Y17" s="101">
        <f t="shared" si="134"/>
        <v>0</v>
      </c>
      <c r="Z17" s="101">
        <f t="shared" si="134"/>
        <v>0</v>
      </c>
      <c r="AA17" s="101">
        <f t="shared" si="134"/>
        <v>0</v>
      </c>
      <c r="AB17" s="101">
        <f t="shared" si="134"/>
        <v>0</v>
      </c>
      <c r="AC17" s="101">
        <f t="shared" ref="AC17:AM17" si="135">AC6+AC9</f>
        <v>0</v>
      </c>
      <c r="AD17" s="101">
        <f t="shared" si="135"/>
        <v>0</v>
      </c>
      <c r="AE17" s="101">
        <f t="shared" si="135"/>
        <v>0</v>
      </c>
      <c r="AF17" s="101">
        <f t="shared" si="135"/>
        <v>0</v>
      </c>
      <c r="AG17" s="101">
        <f t="shared" si="135"/>
        <v>0</v>
      </c>
      <c r="AH17" s="101">
        <f t="shared" si="135"/>
        <v>0</v>
      </c>
      <c r="AI17" s="101">
        <f t="shared" si="135"/>
        <v>0</v>
      </c>
      <c r="AJ17" s="101">
        <f t="shared" si="135"/>
        <v>0</v>
      </c>
      <c r="AK17" s="101">
        <f t="shared" si="135"/>
        <v>0</v>
      </c>
      <c r="AL17" s="101">
        <f t="shared" si="135"/>
        <v>0</v>
      </c>
      <c r="AM17" s="101">
        <f t="shared" si="135"/>
        <v>0</v>
      </c>
    </row>
    <row r="18" spans="1:40" s="81" customFormat="1" x14ac:dyDescent="0.25">
      <c r="A18" s="86">
        <v>13</v>
      </c>
      <c r="B18" s="87" t="s">
        <v>49</v>
      </c>
      <c r="C18" s="88" t="s">
        <v>4</v>
      </c>
      <c r="D18" s="103">
        <f>80988*4.1868/1000</f>
        <v>339.08055839999997</v>
      </c>
      <c r="E18" s="103">
        <f>78369*4.1868/1000</f>
        <v>328.11532919999996</v>
      </c>
      <c r="F18" s="100">
        <f>71695*4.1868/1000</f>
        <v>300.17262599999998</v>
      </c>
      <c r="G18" s="100">
        <f>74400*4.1868/1000</f>
        <v>311.49791999999997</v>
      </c>
      <c r="H18" s="100">
        <f>64419*4.1868/1000</f>
        <v>269.7094692</v>
      </c>
      <c r="I18" s="100">
        <f t="shared" ref="I18:X19" si="136">H18+I16</f>
        <v>261.74420788333958</v>
      </c>
      <c r="J18" s="100">
        <f t="shared" si="136"/>
        <v>254.02174651805205</v>
      </c>
      <c r="K18" s="100">
        <f t="shared" si="136"/>
        <v>246.53446353300893</v>
      </c>
      <c r="L18" s="100">
        <f t="shared" si="136"/>
        <v>239.27498282592069</v>
      </c>
      <c r="M18" s="100">
        <f t="shared" si="136"/>
        <v>232.23616568679219</v>
      </c>
      <c r="N18" s="100">
        <f t="shared" si="136"/>
        <v>227.90205824466244</v>
      </c>
      <c r="O18" s="100">
        <f t="shared" si="136"/>
        <v>223.64883608267147</v>
      </c>
      <c r="P18" s="100">
        <f t="shared" si="136"/>
        <v>219.47498967927859</v>
      </c>
      <c r="Q18" s="100">
        <f t="shared" si="136"/>
        <v>215.37903768438906</v>
      </c>
      <c r="R18" s="100">
        <f t="shared" si="136"/>
        <v>211.35952639360414</v>
      </c>
      <c r="S18" s="100">
        <f t="shared" si="136"/>
        <v>207.41502923228347</v>
      </c>
      <c r="T18" s="100">
        <f t="shared" si="136"/>
        <v>203.54414624923598</v>
      </c>
      <c r="U18" s="100">
        <f t="shared" si="136"/>
        <v>199.74550361985962</v>
      </c>
      <c r="V18" s="100">
        <f t="shared" si="136"/>
        <v>196.017753158554</v>
      </c>
      <c r="W18" s="100">
        <f t="shared" si="136"/>
        <v>192.35957184023246</v>
      </c>
      <c r="X18" s="100">
        <f t="shared" si="136"/>
        <v>188.76966133076414</v>
      </c>
      <c r="Y18" s="100">
        <f t="shared" ref="Y18:Y19" si="137">X18+Y16</f>
        <v>185.24674752617875</v>
      </c>
      <c r="Z18" s="100">
        <f t="shared" ref="Z18:Z19" si="138">Y18+Z16</f>
        <v>181.78958010047145</v>
      </c>
      <c r="AA18" s="100">
        <f t="shared" ref="AA18:AA19" si="139">Z18+AA16</f>
        <v>178.39693206184643</v>
      </c>
      <c r="AB18" s="100">
        <f t="shared" ref="AB18:AB19" si="140">AA18+AB16</f>
        <v>175.06759931724221</v>
      </c>
      <c r="AC18" s="100">
        <f t="shared" ref="AC18:AC19" si="141">AB18+AC16</f>
        <v>171.80040024498419</v>
      </c>
      <c r="AD18" s="100">
        <f t="shared" ref="AD18:AD19" si="142">AC18+AD16</f>
        <v>170.08239624253432</v>
      </c>
      <c r="AE18" s="100">
        <f t="shared" ref="AE18:AE19" si="143">AD18+AE16</f>
        <v>168.381572280109</v>
      </c>
      <c r="AF18" s="100">
        <f t="shared" ref="AF18:AF19" si="144">AE18+AF16</f>
        <v>166.69775655730794</v>
      </c>
      <c r="AG18" s="100">
        <f t="shared" ref="AG18:AG19" si="145">AF18+AG16</f>
        <v>165.03077899173485</v>
      </c>
      <c r="AH18" s="100">
        <f t="shared" ref="AH18:AH19" si="146">AG18+AH16</f>
        <v>163.38047120181747</v>
      </c>
      <c r="AI18" s="100">
        <f t="shared" ref="AI18:AI19" si="147">AH18+AI16</f>
        <v>161.74666648979931</v>
      </c>
      <c r="AJ18" s="100">
        <f t="shared" ref="AJ18:AJ19" si="148">AI18+AJ16</f>
        <v>160.12919982490132</v>
      </c>
      <c r="AK18" s="100">
        <f t="shared" ref="AK18:AK19" si="149">AJ18+AK16</f>
        <v>158.52790782665232</v>
      </c>
      <c r="AL18" s="100">
        <f t="shared" ref="AL18:AL19" si="150">AK18+AL16</f>
        <v>156.9426287483858</v>
      </c>
      <c r="AM18" s="100">
        <f t="shared" ref="AM18:AM19" si="151">AL18+AM16</f>
        <v>155.37320246090195</v>
      </c>
    </row>
    <row r="19" spans="1:40" s="81" customFormat="1" x14ac:dyDescent="0.25">
      <c r="A19" s="86">
        <v>14</v>
      </c>
      <c r="B19" s="87" t="s">
        <v>54</v>
      </c>
      <c r="C19" s="88" t="s">
        <v>1</v>
      </c>
      <c r="D19" s="104">
        <f>16420*4.1868/1000</f>
        <v>68.747255999999993</v>
      </c>
      <c r="E19" s="104">
        <f>18275*4.1868/1000</f>
        <v>76.513770000000008</v>
      </c>
      <c r="F19" s="100">
        <f>15500*4.1868/1000</f>
        <v>64.895399999999995</v>
      </c>
      <c r="G19" s="100">
        <f>18959*4.1868/1000</f>
        <v>79.377541199999996</v>
      </c>
      <c r="H19" s="100">
        <f>20149*4.1868/1000</f>
        <v>84.359833199999997</v>
      </c>
      <c r="I19" s="100">
        <f t="shared" ref="I19:V19" si="152">H19+I17</f>
        <v>82.883536118999999</v>
      </c>
      <c r="J19" s="100">
        <f t="shared" si="152"/>
        <v>81.433074236917491</v>
      </c>
      <c r="K19" s="100">
        <f t="shared" si="152"/>
        <v>80.007995437771442</v>
      </c>
      <c r="L19" s="100">
        <f t="shared" si="152"/>
        <v>78.607855517610446</v>
      </c>
      <c r="M19" s="100">
        <f t="shared" si="152"/>
        <v>77.232218046052267</v>
      </c>
      <c r="N19" s="100">
        <f t="shared" si="152"/>
        <v>75.88065423024635</v>
      </c>
      <c r="O19" s="100">
        <f t="shared" si="152"/>
        <v>74.552742781217034</v>
      </c>
      <c r="P19" s="100">
        <f t="shared" si="152"/>
        <v>73.248069782545741</v>
      </c>
      <c r="Q19" s="100">
        <f t="shared" si="152"/>
        <v>71.966228561351187</v>
      </c>
      <c r="R19" s="100">
        <f t="shared" si="152"/>
        <v>70.706819561527539</v>
      </c>
      <c r="S19" s="100">
        <f t="shared" si="152"/>
        <v>70.706819561527539</v>
      </c>
      <c r="T19" s="100">
        <f t="shared" si="152"/>
        <v>70.706819561527539</v>
      </c>
      <c r="U19" s="100">
        <f t="shared" si="152"/>
        <v>70.706819561527539</v>
      </c>
      <c r="V19" s="100">
        <f t="shared" si="152"/>
        <v>70.706819561527539</v>
      </c>
      <c r="W19" s="100">
        <f t="shared" si="136"/>
        <v>70.706819561527539</v>
      </c>
      <c r="X19" s="100">
        <f t="shared" si="136"/>
        <v>70.706819561527539</v>
      </c>
      <c r="Y19" s="100">
        <f t="shared" si="137"/>
        <v>70.706819561527539</v>
      </c>
      <c r="Z19" s="100">
        <f t="shared" si="138"/>
        <v>70.706819561527539</v>
      </c>
      <c r="AA19" s="100">
        <f t="shared" si="139"/>
        <v>70.706819561527539</v>
      </c>
      <c r="AB19" s="100">
        <f t="shared" si="140"/>
        <v>70.706819561527539</v>
      </c>
      <c r="AC19" s="100">
        <f t="shared" si="141"/>
        <v>70.706819561527539</v>
      </c>
      <c r="AD19" s="100">
        <f t="shared" si="142"/>
        <v>70.706819561527539</v>
      </c>
      <c r="AE19" s="100">
        <f t="shared" si="143"/>
        <v>70.706819561527539</v>
      </c>
      <c r="AF19" s="100">
        <f t="shared" si="144"/>
        <v>70.706819561527539</v>
      </c>
      <c r="AG19" s="100">
        <f t="shared" si="145"/>
        <v>70.706819561527539</v>
      </c>
      <c r="AH19" s="100">
        <f t="shared" si="146"/>
        <v>70.706819561527539</v>
      </c>
      <c r="AI19" s="100">
        <f t="shared" si="147"/>
        <v>70.706819561527539</v>
      </c>
      <c r="AJ19" s="100">
        <f t="shared" si="148"/>
        <v>70.706819561527539</v>
      </c>
      <c r="AK19" s="100">
        <f t="shared" si="149"/>
        <v>70.706819561527539</v>
      </c>
      <c r="AL19" s="100">
        <f t="shared" si="150"/>
        <v>70.706819561527539</v>
      </c>
      <c r="AM19" s="100">
        <f t="shared" si="151"/>
        <v>70.706819561527539</v>
      </c>
    </row>
    <row r="20" spans="1:40" s="81" customFormat="1" x14ac:dyDescent="0.25">
      <c r="A20" s="86">
        <v>15</v>
      </c>
      <c r="B20" s="87" t="s">
        <v>55</v>
      </c>
      <c r="C20" s="88" t="s">
        <v>1</v>
      </c>
      <c r="D20" s="100">
        <f>D18+D19</f>
        <v>407.82781439999997</v>
      </c>
      <c r="E20" s="100">
        <f>E18+E19</f>
        <v>404.62909919999998</v>
      </c>
      <c r="F20" s="100">
        <f>F18+F19</f>
        <v>365.06802599999997</v>
      </c>
      <c r="G20" s="100">
        <f t="shared" ref="G20" si="153">G18+G19</f>
        <v>390.87546119999996</v>
      </c>
      <c r="H20" s="100">
        <f t="shared" ref="H20:AB20" si="154">H18+H19</f>
        <v>354.06930239999997</v>
      </c>
      <c r="I20" s="100">
        <f t="shared" si="154"/>
        <v>344.62774400233957</v>
      </c>
      <c r="J20" s="100">
        <f t="shared" si="154"/>
        <v>335.45482075496955</v>
      </c>
      <c r="K20" s="100">
        <f t="shared" si="154"/>
        <v>326.54245897078039</v>
      </c>
      <c r="L20" s="100">
        <f t="shared" si="154"/>
        <v>317.88283834353115</v>
      </c>
      <c r="M20" s="100">
        <f t="shared" si="154"/>
        <v>309.46838373284447</v>
      </c>
      <c r="N20" s="100">
        <f t="shared" si="154"/>
        <v>303.78271247490881</v>
      </c>
      <c r="O20" s="100">
        <f t="shared" si="154"/>
        <v>298.20157886388847</v>
      </c>
      <c r="P20" s="100">
        <f t="shared" si="154"/>
        <v>292.72305946182433</v>
      </c>
      <c r="Q20" s="100">
        <f t="shared" si="154"/>
        <v>287.34526624574028</v>
      </c>
      <c r="R20" s="100">
        <f t="shared" si="154"/>
        <v>282.06634595513168</v>
      </c>
      <c r="S20" s="100">
        <f t="shared" si="154"/>
        <v>278.12184879381101</v>
      </c>
      <c r="T20" s="100">
        <f t="shared" si="154"/>
        <v>274.25096581076355</v>
      </c>
      <c r="U20" s="100">
        <f t="shared" si="154"/>
        <v>270.45232318138716</v>
      </c>
      <c r="V20" s="100">
        <f t="shared" si="154"/>
        <v>266.72457272008154</v>
      </c>
      <c r="W20" s="100">
        <f t="shared" si="154"/>
        <v>263.06639140176003</v>
      </c>
      <c r="X20" s="100">
        <f t="shared" si="154"/>
        <v>259.47648089229165</v>
      </c>
      <c r="Y20" s="100">
        <f t="shared" si="154"/>
        <v>255.95356708770629</v>
      </c>
      <c r="Z20" s="100">
        <f t="shared" si="154"/>
        <v>252.49639966199899</v>
      </c>
      <c r="AA20" s="100">
        <f t="shared" si="154"/>
        <v>249.10375162337397</v>
      </c>
      <c r="AB20" s="100">
        <f t="shared" si="154"/>
        <v>245.77441887876975</v>
      </c>
      <c r="AC20" s="100">
        <f t="shared" ref="AC20:AM20" si="155">AC18+AC19</f>
        <v>242.50721980651173</v>
      </c>
      <c r="AD20" s="100">
        <f t="shared" si="155"/>
        <v>240.78921580406185</v>
      </c>
      <c r="AE20" s="100">
        <f t="shared" si="155"/>
        <v>239.08839184163654</v>
      </c>
      <c r="AF20" s="100">
        <f t="shared" si="155"/>
        <v>237.40457611883548</v>
      </c>
      <c r="AG20" s="100">
        <f t="shared" si="155"/>
        <v>235.73759855326239</v>
      </c>
      <c r="AH20" s="100">
        <f t="shared" si="155"/>
        <v>234.08729076334501</v>
      </c>
      <c r="AI20" s="100">
        <f t="shared" si="155"/>
        <v>232.45348605132685</v>
      </c>
      <c r="AJ20" s="100">
        <f t="shared" si="155"/>
        <v>230.83601938642886</v>
      </c>
      <c r="AK20" s="100">
        <f t="shared" si="155"/>
        <v>229.23472738817986</v>
      </c>
      <c r="AL20" s="100">
        <f t="shared" si="155"/>
        <v>227.64944830991334</v>
      </c>
      <c r="AM20" s="100">
        <f t="shared" si="155"/>
        <v>226.08002202242949</v>
      </c>
    </row>
    <row r="21" spans="1:40" s="81" customFormat="1" x14ac:dyDescent="0.25">
      <c r="A21" s="86">
        <v>16</v>
      </c>
      <c r="B21" s="87" t="s">
        <v>37</v>
      </c>
      <c r="C21" s="88" t="s">
        <v>1</v>
      </c>
      <c r="D21" s="105">
        <f>(44796+22477)*4.1868/1000</f>
        <v>281.65859639999996</v>
      </c>
      <c r="E21" s="105">
        <f>65792*4.1868/1000</f>
        <v>275.45794559999996</v>
      </c>
      <c r="F21" s="105">
        <f>66722*4.1868/1000</f>
        <v>279.35166959999998</v>
      </c>
      <c r="G21" s="105">
        <f>(37763+36131)*4.1868/1000</f>
        <v>309.37939919999997</v>
      </c>
      <c r="H21" s="105">
        <f>(31295+33981)*4.1868/1000</f>
        <v>273.29755679999994</v>
      </c>
      <c r="I21" s="105">
        <f>H21</f>
        <v>273.29755679999994</v>
      </c>
      <c r="J21" s="105">
        <f>I21</f>
        <v>273.29755679999994</v>
      </c>
      <c r="K21" s="105">
        <f t="shared" ref="K21:P21" si="156">J21</f>
        <v>273.29755679999994</v>
      </c>
      <c r="L21" s="105">
        <f t="shared" si="156"/>
        <v>273.29755679999994</v>
      </c>
      <c r="M21" s="105">
        <f t="shared" si="156"/>
        <v>273.29755679999994</v>
      </c>
      <c r="N21" s="105">
        <f t="shared" si="156"/>
        <v>273.29755679999994</v>
      </c>
      <c r="O21" s="105">
        <f t="shared" si="156"/>
        <v>273.29755679999994</v>
      </c>
      <c r="P21" s="105">
        <f t="shared" si="156"/>
        <v>273.29755679999994</v>
      </c>
      <c r="Q21" s="105">
        <f t="shared" ref="Q21" si="157">P21</f>
        <v>273.29755679999994</v>
      </c>
      <c r="R21" s="105">
        <f t="shared" ref="R21" si="158">Q21</f>
        <v>273.29755679999994</v>
      </c>
      <c r="S21" s="105">
        <f t="shared" ref="S21" si="159">R21</f>
        <v>273.29755679999994</v>
      </c>
      <c r="T21" s="105">
        <f t="shared" ref="T21" si="160">S21</f>
        <v>273.29755679999994</v>
      </c>
      <c r="U21" s="105">
        <f t="shared" ref="U21" si="161">T21</f>
        <v>273.29755679999994</v>
      </c>
      <c r="V21" s="105">
        <f t="shared" ref="V21" si="162">U21</f>
        <v>273.29755679999994</v>
      </c>
      <c r="W21" s="105">
        <f t="shared" ref="W21" si="163">V21</f>
        <v>273.29755679999994</v>
      </c>
      <c r="X21" s="105">
        <f t="shared" ref="X21" si="164">W21</f>
        <v>273.29755679999994</v>
      </c>
      <c r="Y21" s="105">
        <f t="shared" ref="Y21" si="165">X21</f>
        <v>273.29755679999994</v>
      </c>
      <c r="Z21" s="105">
        <f t="shared" ref="Z21" si="166">Y21</f>
        <v>273.29755679999994</v>
      </c>
      <c r="AA21" s="105">
        <f t="shared" ref="AA21" si="167">Z21</f>
        <v>273.29755679999994</v>
      </c>
      <c r="AB21" s="105">
        <f t="shared" ref="AB21" si="168">AA21</f>
        <v>273.29755679999994</v>
      </c>
      <c r="AC21" s="105">
        <f t="shared" ref="AC21" si="169">AB21</f>
        <v>273.29755679999994</v>
      </c>
      <c r="AD21" s="105">
        <f t="shared" ref="AD21" si="170">AC21</f>
        <v>273.29755679999994</v>
      </c>
      <c r="AE21" s="105">
        <f t="shared" ref="AE21" si="171">AD21</f>
        <v>273.29755679999994</v>
      </c>
      <c r="AF21" s="105">
        <f t="shared" ref="AF21" si="172">AE21</f>
        <v>273.29755679999994</v>
      </c>
      <c r="AG21" s="105">
        <f t="shared" ref="AG21" si="173">AF21</f>
        <v>273.29755679999994</v>
      </c>
      <c r="AH21" s="105">
        <f t="shared" ref="AH21" si="174">AG21</f>
        <v>273.29755679999994</v>
      </c>
      <c r="AI21" s="105">
        <f t="shared" ref="AI21" si="175">AH21</f>
        <v>273.29755679999994</v>
      </c>
      <c r="AJ21" s="105">
        <f t="shared" ref="AJ21" si="176">AI21</f>
        <v>273.29755679999994</v>
      </c>
      <c r="AK21" s="105">
        <f t="shared" ref="AK21" si="177">AJ21</f>
        <v>273.29755679999994</v>
      </c>
      <c r="AL21" s="105">
        <f t="shared" ref="AL21" si="178">AK21</f>
        <v>273.29755679999994</v>
      </c>
      <c r="AM21" s="105">
        <f t="shared" ref="AM21" si="179">AL21</f>
        <v>273.29755679999994</v>
      </c>
      <c r="AN21" s="106"/>
    </row>
    <row r="22" spans="1:40" s="81" customFormat="1" x14ac:dyDescent="0.25">
      <c r="A22" s="86">
        <v>17</v>
      </c>
      <c r="B22" s="107" t="s">
        <v>38</v>
      </c>
      <c r="C22" s="108" t="s">
        <v>1</v>
      </c>
      <c r="D22" s="109">
        <f t="shared" ref="D22:AB22" si="180">D20+D21</f>
        <v>689.48641079999993</v>
      </c>
      <c r="E22" s="109">
        <f t="shared" si="180"/>
        <v>680.08704479999994</v>
      </c>
      <c r="F22" s="109">
        <f t="shared" si="180"/>
        <v>644.41969559999995</v>
      </c>
      <c r="G22" s="109">
        <f t="shared" si="180"/>
        <v>700.25486039999987</v>
      </c>
      <c r="H22" s="109">
        <f t="shared" si="180"/>
        <v>627.36685919999991</v>
      </c>
      <c r="I22" s="109">
        <f t="shared" si="180"/>
        <v>617.92530080233951</v>
      </c>
      <c r="J22" s="109">
        <f t="shared" si="180"/>
        <v>608.75237755496948</v>
      </c>
      <c r="K22" s="109">
        <f t="shared" si="180"/>
        <v>599.84001577078038</v>
      </c>
      <c r="L22" s="109">
        <f t="shared" si="180"/>
        <v>591.18039514353109</v>
      </c>
      <c r="M22" s="109">
        <f t="shared" si="180"/>
        <v>582.76594053284441</v>
      </c>
      <c r="N22" s="109">
        <f t="shared" si="180"/>
        <v>577.08026927490869</v>
      </c>
      <c r="O22" s="109">
        <f t="shared" si="180"/>
        <v>571.49913566388841</v>
      </c>
      <c r="P22" s="109">
        <f t="shared" si="180"/>
        <v>566.02061626182422</v>
      </c>
      <c r="Q22" s="109">
        <f t="shared" si="180"/>
        <v>560.64282304574022</v>
      </c>
      <c r="R22" s="109">
        <f t="shared" si="180"/>
        <v>555.36390275513168</v>
      </c>
      <c r="S22" s="109">
        <f t="shared" si="180"/>
        <v>551.41940559381101</v>
      </c>
      <c r="T22" s="109">
        <f t="shared" si="180"/>
        <v>547.54852261076348</v>
      </c>
      <c r="U22" s="109">
        <f t="shared" si="180"/>
        <v>543.74987998138704</v>
      </c>
      <c r="V22" s="109">
        <f t="shared" si="180"/>
        <v>540.02212952008153</v>
      </c>
      <c r="W22" s="109">
        <f t="shared" si="180"/>
        <v>536.36394820175997</v>
      </c>
      <c r="X22" s="109">
        <f t="shared" si="180"/>
        <v>532.77403769229159</v>
      </c>
      <c r="Y22" s="109">
        <f t="shared" si="180"/>
        <v>529.25112388770617</v>
      </c>
      <c r="Z22" s="109">
        <f t="shared" si="180"/>
        <v>525.79395646199896</v>
      </c>
      <c r="AA22" s="109">
        <f t="shared" si="180"/>
        <v>522.40130842337385</v>
      </c>
      <c r="AB22" s="109">
        <f t="shared" si="180"/>
        <v>519.07197567876972</v>
      </c>
      <c r="AC22" s="109">
        <f t="shared" ref="AC22:AM22" si="181">AC20+AC21</f>
        <v>515.80477660651172</v>
      </c>
      <c r="AD22" s="109">
        <f t="shared" si="181"/>
        <v>514.08677260406182</v>
      </c>
      <c r="AE22" s="109">
        <f t="shared" si="181"/>
        <v>512.38594864163645</v>
      </c>
      <c r="AF22" s="109">
        <f t="shared" si="181"/>
        <v>510.70213291883545</v>
      </c>
      <c r="AG22" s="109">
        <f t="shared" si="181"/>
        <v>509.03515535326233</v>
      </c>
      <c r="AH22" s="109">
        <f t="shared" si="181"/>
        <v>507.38484756334492</v>
      </c>
      <c r="AI22" s="109">
        <f t="shared" si="181"/>
        <v>505.75104285132682</v>
      </c>
      <c r="AJ22" s="109">
        <f t="shared" si="181"/>
        <v>504.1335761864288</v>
      </c>
      <c r="AK22" s="109">
        <f t="shared" si="181"/>
        <v>502.5322841881798</v>
      </c>
      <c r="AL22" s="109">
        <f t="shared" si="181"/>
        <v>500.94700510991328</v>
      </c>
      <c r="AM22" s="109">
        <f t="shared" si="181"/>
        <v>499.37757882242943</v>
      </c>
    </row>
    <row r="23" spans="1:40" s="81" customFormat="1" x14ac:dyDescent="0.25">
      <c r="A23" s="86">
        <v>18</v>
      </c>
      <c r="B23" s="110"/>
      <c r="C23" s="108" t="s">
        <v>8</v>
      </c>
      <c r="D23" s="108"/>
      <c r="E23" s="109">
        <f>E22*1000/4.1868</f>
        <v>162436</v>
      </c>
      <c r="F23" s="109">
        <f t="shared" ref="F23:AB23" si="182">F22*1000/4.1868</f>
        <v>153917</v>
      </c>
      <c r="G23" s="109">
        <f t="shared" si="182"/>
        <v>167252.99999999997</v>
      </c>
      <c r="H23" s="109">
        <f t="shared" si="182"/>
        <v>149844</v>
      </c>
      <c r="I23" s="109">
        <f t="shared" si="182"/>
        <v>147588.9225189499</v>
      </c>
      <c r="J23" s="109">
        <f t="shared" si="182"/>
        <v>145398.00744123664</v>
      </c>
      <c r="K23" s="109">
        <f t="shared" si="182"/>
        <v>143269.32639982336</v>
      </c>
      <c r="L23" s="109">
        <f t="shared" si="182"/>
        <v>141201.01154665402</v>
      </c>
      <c r="M23" s="109">
        <f t="shared" si="182"/>
        <v>139191.25359053319</v>
      </c>
      <c r="N23" s="109">
        <f t="shared" si="182"/>
        <v>137833.25434100238</v>
      </c>
      <c r="O23" s="109">
        <f t="shared" si="182"/>
        <v>136500.22347948037</v>
      </c>
      <c r="P23" s="109">
        <f t="shared" si="182"/>
        <v>135191.70160070324</v>
      </c>
      <c r="Q23" s="109">
        <f t="shared" si="182"/>
        <v>133907.23775813039</v>
      </c>
      <c r="R23" s="109">
        <f t="shared" si="182"/>
        <v>132646.38930809489</v>
      </c>
      <c r="S23" s="109">
        <f t="shared" si="182"/>
        <v>131704.26234685464</v>
      </c>
      <c r="T23" s="109">
        <f t="shared" si="182"/>
        <v>130779.71783002853</v>
      </c>
      <c r="U23" s="109">
        <f t="shared" si="182"/>
        <v>129872.4276252477</v>
      </c>
      <c r="V23" s="109">
        <f t="shared" si="182"/>
        <v>128982.06972391364</v>
      </c>
      <c r="W23" s="109">
        <f t="shared" si="182"/>
        <v>128108.32812691315</v>
      </c>
      <c r="X23" s="109">
        <f t="shared" si="182"/>
        <v>127250.8927324667</v>
      </c>
      <c r="Y23" s="109">
        <f t="shared" si="182"/>
        <v>126409.45922606913</v>
      </c>
      <c r="Z23" s="109">
        <f t="shared" si="182"/>
        <v>125583.72897248472</v>
      </c>
      <c r="AA23" s="109">
        <f t="shared" si="182"/>
        <v>124773.40890975778</v>
      </c>
      <c r="AB23" s="109">
        <f t="shared" si="182"/>
        <v>123978.21144520152</v>
      </c>
      <c r="AC23" s="109">
        <f t="shared" ref="AC23:AM23" si="183">AC22*1000/4.1868</f>
        <v>123197.85435332754</v>
      </c>
      <c r="AD23" s="109">
        <f t="shared" si="183"/>
        <v>122787.51614695277</v>
      </c>
      <c r="AE23" s="109">
        <f t="shared" si="183"/>
        <v>122381.28132264175</v>
      </c>
      <c r="AF23" s="109">
        <f t="shared" si="183"/>
        <v>121979.10884657387</v>
      </c>
      <c r="AG23" s="109">
        <f t="shared" si="183"/>
        <v>121580.95809526663</v>
      </c>
      <c r="AH23" s="109">
        <f t="shared" si="183"/>
        <v>121186.78885147248</v>
      </c>
      <c r="AI23" s="109">
        <f t="shared" si="183"/>
        <v>120796.56130011627</v>
      </c>
      <c r="AJ23" s="109">
        <f t="shared" si="183"/>
        <v>120410.23602427362</v>
      </c>
      <c r="AK23" s="109">
        <f t="shared" si="183"/>
        <v>120027.77400118942</v>
      </c>
      <c r="AL23" s="109">
        <f t="shared" si="183"/>
        <v>119649.13659833603</v>
      </c>
      <c r="AM23" s="109">
        <f t="shared" si="183"/>
        <v>119274.28556951118</v>
      </c>
    </row>
    <row r="24" spans="1:40" s="81" customFormat="1" x14ac:dyDescent="0.25">
      <c r="A24" s="111"/>
      <c r="B24" s="110"/>
      <c r="C24" s="108"/>
      <c r="D24" s="108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</row>
    <row r="25" spans="1:40" s="81" customFormat="1" x14ac:dyDescent="0.25">
      <c r="A25" s="86">
        <v>19</v>
      </c>
      <c r="B25" s="112" t="s">
        <v>9</v>
      </c>
      <c r="C25" s="88" t="s">
        <v>10</v>
      </c>
      <c r="D25" s="88"/>
      <c r="E25" s="113">
        <f>E18/E14</f>
        <v>1.9989967661752161E-2</v>
      </c>
      <c r="F25" s="113">
        <f t="shared" ref="F25:AB25" si="184">F18/F14</f>
        <v>1.8920430255278915E-2</v>
      </c>
      <c r="G25" s="113">
        <f t="shared" si="184"/>
        <v>2.0253440832249673E-2</v>
      </c>
      <c r="H25" s="113">
        <f t="shared" si="184"/>
        <v>1.7912455043109524E-2</v>
      </c>
      <c r="I25" s="113">
        <f t="shared" si="184"/>
        <v>1.7755721061482314E-2</v>
      </c>
      <c r="J25" s="113">
        <f t="shared" si="184"/>
        <v>1.7600358502194345E-2</v>
      </c>
      <c r="K25" s="113">
        <f t="shared" si="184"/>
        <v>1.7446355365300141E-2</v>
      </c>
      <c r="L25" s="113">
        <f t="shared" si="184"/>
        <v>1.7293699755853764E-2</v>
      </c>
      <c r="M25" s="113">
        <f t="shared" si="184"/>
        <v>1.7142379882990045E-2</v>
      </c>
      <c r="N25" s="113">
        <f t="shared" si="184"/>
        <v>1.6992384059013883E-2</v>
      </c>
      <c r="O25" s="113">
        <f t="shared" si="184"/>
        <v>1.6843700698497513E-2</v>
      </c>
      <c r="P25" s="113">
        <f t="shared" si="184"/>
        <v>1.6696318317385658E-2</v>
      </c>
      <c r="Q25" s="113">
        <f t="shared" si="184"/>
        <v>1.6550225532108533E-2</v>
      </c>
      <c r="R25" s="113">
        <f t="shared" si="184"/>
        <v>1.6405411058702586E-2</v>
      </c>
      <c r="S25" s="113">
        <f t="shared" si="184"/>
        <v>1.6261863711938936E-2</v>
      </c>
      <c r="T25" s="113">
        <f t="shared" si="184"/>
        <v>1.6119572404459472E-2</v>
      </c>
      <c r="U25" s="113">
        <f t="shared" si="184"/>
        <v>1.5978526145920449E-2</v>
      </c>
      <c r="V25" s="113">
        <f t="shared" si="184"/>
        <v>1.5838714042143646E-2</v>
      </c>
      <c r="W25" s="113">
        <f t="shared" si="184"/>
        <v>1.5700125294274888E-2</v>
      </c>
      <c r="X25" s="113">
        <f t="shared" si="184"/>
        <v>1.5562749197949984E-2</v>
      </c>
      <c r="Y25" s="113">
        <f t="shared" si="184"/>
        <v>1.5426575142467923E-2</v>
      </c>
      <c r="Z25" s="113">
        <f t="shared" si="184"/>
        <v>1.5291592609971328E-2</v>
      </c>
      <c r="AA25" s="113">
        <f t="shared" si="184"/>
        <v>1.515779117463408E-2</v>
      </c>
      <c r="AB25" s="113">
        <f t="shared" si="184"/>
        <v>1.5025160501856032E-2</v>
      </c>
      <c r="AC25" s="113">
        <f t="shared" ref="AC25:AM25" si="185">AC18/AC14</f>
        <v>1.4893690347464791E-2</v>
      </c>
      <c r="AD25" s="113">
        <f t="shared" si="185"/>
        <v>1.4893690347464791E-2</v>
      </c>
      <c r="AE25" s="113">
        <f t="shared" si="185"/>
        <v>1.4893690347464791E-2</v>
      </c>
      <c r="AF25" s="113">
        <f t="shared" si="185"/>
        <v>1.4893690347464792E-2</v>
      </c>
      <c r="AG25" s="113">
        <f t="shared" si="185"/>
        <v>1.4893690347464794E-2</v>
      </c>
      <c r="AH25" s="113">
        <f t="shared" si="185"/>
        <v>1.4893690347464792E-2</v>
      </c>
      <c r="AI25" s="113">
        <f t="shared" si="185"/>
        <v>1.4893690347464792E-2</v>
      </c>
      <c r="AJ25" s="113">
        <f t="shared" si="185"/>
        <v>1.4893690347464794E-2</v>
      </c>
      <c r="AK25" s="113">
        <f t="shared" si="185"/>
        <v>1.4893690347464794E-2</v>
      </c>
      <c r="AL25" s="113">
        <f t="shared" si="185"/>
        <v>1.4893690347464794E-2</v>
      </c>
      <c r="AM25" s="113">
        <f t="shared" si="185"/>
        <v>1.4893690347464794E-2</v>
      </c>
    </row>
    <row r="26" spans="1:40" s="81" customFormat="1" x14ac:dyDescent="0.25">
      <c r="A26" s="86">
        <v>20</v>
      </c>
      <c r="B26" s="112"/>
      <c r="C26" s="88" t="s">
        <v>11</v>
      </c>
      <c r="D26" s="88"/>
      <c r="E26" s="100">
        <f t="shared" ref="E26:AB26" si="186">E25*1000/4.1868</f>
        <v>4.7745217497258432</v>
      </c>
      <c r="F26" s="100">
        <f t="shared" si="186"/>
        <v>4.5190671289000948</v>
      </c>
      <c r="G26" s="100">
        <f t="shared" si="186"/>
        <v>4.8374512353706107</v>
      </c>
      <c r="H26" s="100">
        <f t="shared" si="186"/>
        <v>4.2783163855712063</v>
      </c>
      <c r="I26" s="100">
        <f t="shared" si="186"/>
        <v>4.2408811171974579</v>
      </c>
      <c r="J26" s="100">
        <f t="shared" si="186"/>
        <v>4.2037734074219806</v>
      </c>
      <c r="K26" s="100">
        <f t="shared" si="186"/>
        <v>4.1669903901070375</v>
      </c>
      <c r="L26" s="100">
        <f t="shared" si="186"/>
        <v>4.1305292241936007</v>
      </c>
      <c r="M26" s="100">
        <f t="shared" si="186"/>
        <v>4.0943870934819069</v>
      </c>
      <c r="N26" s="100">
        <f t="shared" si="186"/>
        <v>4.0585612064139402</v>
      </c>
      <c r="O26" s="100">
        <f t="shared" si="186"/>
        <v>4.0230487958578189</v>
      </c>
      <c r="P26" s="100">
        <f t="shared" si="186"/>
        <v>3.9878471188940616</v>
      </c>
      <c r="Q26" s="100">
        <f t="shared" si="186"/>
        <v>3.9529534566037392</v>
      </c>
      <c r="R26" s="100">
        <f t="shared" si="186"/>
        <v>3.918365113858457</v>
      </c>
      <c r="S26" s="100">
        <f t="shared" si="186"/>
        <v>3.8840794191121946</v>
      </c>
      <c r="T26" s="100">
        <f t="shared" si="186"/>
        <v>3.8500937241949633</v>
      </c>
      <c r="U26" s="100">
        <f t="shared" si="186"/>
        <v>3.8164054041082571</v>
      </c>
      <c r="V26" s="100">
        <f t="shared" si="186"/>
        <v>3.7830118568223097</v>
      </c>
      <c r="W26" s="100">
        <f t="shared" si="186"/>
        <v>3.7499105030751143</v>
      </c>
      <c r="X26" s="100">
        <f t="shared" si="186"/>
        <v>3.7170987861732074</v>
      </c>
      <c r="Y26" s="100">
        <f t="shared" si="186"/>
        <v>3.6845741717941922</v>
      </c>
      <c r="Z26" s="100">
        <f t="shared" si="186"/>
        <v>3.652334147790993</v>
      </c>
      <c r="AA26" s="100">
        <f t="shared" si="186"/>
        <v>3.6203762239978214</v>
      </c>
      <c r="AB26" s="100">
        <f t="shared" si="186"/>
        <v>3.5886979320378409</v>
      </c>
      <c r="AC26" s="100">
        <f t="shared" ref="AC26:AM26" si="187">AC25*1000/4.1868</f>
        <v>3.5572968251325094</v>
      </c>
      <c r="AD26" s="100">
        <f t="shared" si="187"/>
        <v>3.5572968251325094</v>
      </c>
      <c r="AE26" s="100">
        <f t="shared" si="187"/>
        <v>3.5572968251325094</v>
      </c>
      <c r="AF26" s="100">
        <f t="shared" si="187"/>
        <v>3.5572968251325099</v>
      </c>
      <c r="AG26" s="100">
        <f t="shared" si="187"/>
        <v>3.5572968251325103</v>
      </c>
      <c r="AH26" s="100">
        <f t="shared" si="187"/>
        <v>3.5572968251325099</v>
      </c>
      <c r="AI26" s="100">
        <f t="shared" si="187"/>
        <v>3.5572968251325099</v>
      </c>
      <c r="AJ26" s="100">
        <f t="shared" si="187"/>
        <v>3.5572968251325103</v>
      </c>
      <c r="AK26" s="100">
        <f t="shared" si="187"/>
        <v>3.5572968251325103</v>
      </c>
      <c r="AL26" s="100">
        <f t="shared" si="187"/>
        <v>3.5572968251325103</v>
      </c>
      <c r="AM26" s="100">
        <f t="shared" si="187"/>
        <v>3.5572968251325103</v>
      </c>
    </row>
    <row r="27" spans="1:40" s="81" customFormat="1" x14ac:dyDescent="0.25">
      <c r="A27" s="86">
        <v>21</v>
      </c>
      <c r="B27" s="112"/>
      <c r="C27" s="114" t="s">
        <v>12</v>
      </c>
      <c r="D27" s="114"/>
      <c r="E27" s="100">
        <f t="shared" ref="E27:AB27" si="188">E26*1.162*1000/50</f>
        <v>110.95988546362859</v>
      </c>
      <c r="F27" s="100">
        <f t="shared" si="188"/>
        <v>105.0231200756382</v>
      </c>
      <c r="G27" s="100">
        <f t="shared" si="188"/>
        <v>112.42236671001299</v>
      </c>
      <c r="H27" s="100">
        <f t="shared" si="188"/>
        <v>99.428072800674812</v>
      </c>
      <c r="I27" s="100">
        <f t="shared" si="188"/>
        <v>98.558077163668912</v>
      </c>
      <c r="J27" s="100">
        <f t="shared" si="188"/>
        <v>97.695693988486823</v>
      </c>
      <c r="K27" s="100">
        <f t="shared" si="188"/>
        <v>96.840856666087547</v>
      </c>
      <c r="L27" s="100">
        <f t="shared" si="188"/>
        <v>95.99349917025927</v>
      </c>
      <c r="M27" s="100">
        <f t="shared" si="188"/>
        <v>95.153556052519505</v>
      </c>
      <c r="N27" s="100">
        <f t="shared" si="188"/>
        <v>94.320962437059976</v>
      </c>
      <c r="O27" s="100">
        <f t="shared" si="188"/>
        <v>93.49565401573571</v>
      </c>
      <c r="P27" s="100">
        <f t="shared" si="188"/>
        <v>92.677567043097994</v>
      </c>
      <c r="Q27" s="100">
        <f t="shared" si="188"/>
        <v>91.866638331470881</v>
      </c>
      <c r="R27" s="100">
        <f t="shared" si="188"/>
        <v>91.062805246070525</v>
      </c>
      <c r="S27" s="100">
        <f t="shared" si="188"/>
        <v>90.266005700167412</v>
      </c>
      <c r="T27" s="100">
        <f t="shared" si="188"/>
        <v>89.476178150290949</v>
      </c>
      <c r="U27" s="100">
        <f t="shared" si="188"/>
        <v>88.693261591475888</v>
      </c>
      <c r="V27" s="100">
        <f t="shared" si="188"/>
        <v>87.917195552550481</v>
      </c>
      <c r="W27" s="100">
        <f t="shared" si="188"/>
        <v>87.147920091465664</v>
      </c>
      <c r="X27" s="100">
        <f t="shared" si="188"/>
        <v>86.385375790665336</v>
      </c>
      <c r="Y27" s="100">
        <f t="shared" si="188"/>
        <v>85.629503752497016</v>
      </c>
      <c r="Z27" s="100">
        <f t="shared" si="188"/>
        <v>84.880245594662668</v>
      </c>
      <c r="AA27" s="100">
        <f t="shared" si="188"/>
        <v>84.137543445709355</v>
      </c>
      <c r="AB27" s="100">
        <f t="shared" si="188"/>
        <v>83.40133994055941</v>
      </c>
      <c r="AC27" s="100">
        <f t="shared" ref="AC27:AM27" si="189">AC26*1.162*1000/50</f>
        <v>82.67157821607951</v>
      </c>
      <c r="AD27" s="100">
        <f t="shared" si="189"/>
        <v>82.67157821607951</v>
      </c>
      <c r="AE27" s="100">
        <f t="shared" si="189"/>
        <v>82.67157821607951</v>
      </c>
      <c r="AF27" s="100">
        <f t="shared" si="189"/>
        <v>82.671578216079524</v>
      </c>
      <c r="AG27" s="100">
        <f t="shared" si="189"/>
        <v>82.671578216079538</v>
      </c>
      <c r="AH27" s="100">
        <f t="shared" si="189"/>
        <v>82.671578216079524</v>
      </c>
      <c r="AI27" s="100">
        <f t="shared" si="189"/>
        <v>82.671578216079524</v>
      </c>
      <c r="AJ27" s="100">
        <f t="shared" si="189"/>
        <v>82.671578216079538</v>
      </c>
      <c r="AK27" s="100">
        <f t="shared" si="189"/>
        <v>82.671578216079538</v>
      </c>
      <c r="AL27" s="100">
        <f t="shared" si="189"/>
        <v>82.671578216079538</v>
      </c>
      <c r="AM27" s="100">
        <f t="shared" si="189"/>
        <v>82.671578216079538</v>
      </c>
    </row>
    <row r="28" spans="1:40" s="81" customFormat="1" x14ac:dyDescent="0.25">
      <c r="A28" s="94"/>
      <c r="B28" s="115"/>
      <c r="C28" s="116"/>
      <c r="D28" s="116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</row>
    <row r="29" spans="1:40" s="81" customFormat="1" x14ac:dyDescent="0.25">
      <c r="A29" s="94">
        <v>22</v>
      </c>
      <c r="B29" s="115" t="s">
        <v>56</v>
      </c>
      <c r="C29" s="116" t="s">
        <v>32</v>
      </c>
      <c r="D29" s="116"/>
      <c r="E29" s="101">
        <f t="shared" ref="E29:AB29" si="190">E19/E15</f>
        <v>0.12794944816053513</v>
      </c>
      <c r="F29" s="101">
        <f t="shared" si="190"/>
        <v>0.11074300341296928</v>
      </c>
      <c r="G29" s="101">
        <f t="shared" si="190"/>
        <v>0.13340763226890756</v>
      </c>
      <c r="H29" s="101">
        <f t="shared" si="190"/>
        <v>0.15564544870848707</v>
      </c>
      <c r="I29" s="101">
        <f t="shared" si="190"/>
        <v>0.15292165335608857</v>
      </c>
      <c r="J29" s="101">
        <f t="shared" si="190"/>
        <v>0.150245524422357</v>
      </c>
      <c r="K29" s="101">
        <f t="shared" si="190"/>
        <v>0.14761622774496577</v>
      </c>
      <c r="L29" s="101">
        <f t="shared" si="190"/>
        <v>0.14503294375942888</v>
      </c>
      <c r="M29" s="101">
        <f t="shared" si="190"/>
        <v>0.14249486724363886</v>
      </c>
      <c r="N29" s="101">
        <f t="shared" si="190"/>
        <v>0.14000120706687519</v>
      </c>
      <c r="O29" s="101">
        <f t="shared" si="190"/>
        <v>0.13755118594320487</v>
      </c>
      <c r="P29" s="101">
        <f t="shared" si="190"/>
        <v>0.13514404018919879</v>
      </c>
      <c r="Q29" s="101">
        <f t="shared" si="190"/>
        <v>0.1327790194858878</v>
      </c>
      <c r="R29" s="101">
        <f t="shared" si="190"/>
        <v>0.13045538664488476</v>
      </c>
      <c r="S29" s="101">
        <f t="shared" si="190"/>
        <v>0.13045538664488476</v>
      </c>
      <c r="T29" s="101">
        <f t="shared" si="190"/>
        <v>0.13045538664488476</v>
      </c>
      <c r="U29" s="101">
        <f t="shared" si="190"/>
        <v>0.13045538664488476</v>
      </c>
      <c r="V29" s="101">
        <f t="shared" si="190"/>
        <v>0.13045538664488476</v>
      </c>
      <c r="W29" s="101">
        <f t="shared" si="190"/>
        <v>0.13045538664488476</v>
      </c>
      <c r="X29" s="101">
        <f t="shared" si="190"/>
        <v>0.13045538664488476</v>
      </c>
      <c r="Y29" s="101">
        <f t="shared" si="190"/>
        <v>0.13045538664488476</v>
      </c>
      <c r="Z29" s="101">
        <f t="shared" si="190"/>
        <v>0.13045538664488476</v>
      </c>
      <c r="AA29" s="101">
        <f t="shared" si="190"/>
        <v>0.13045538664488476</v>
      </c>
      <c r="AB29" s="101">
        <f t="shared" si="190"/>
        <v>0.13045538664488476</v>
      </c>
      <c r="AC29" s="101">
        <f t="shared" ref="AC29:AM29" si="191">AC19/AC15</f>
        <v>0.13045538664488476</v>
      </c>
      <c r="AD29" s="101">
        <f t="shared" si="191"/>
        <v>0.13045538664488476</v>
      </c>
      <c r="AE29" s="101">
        <f t="shared" si="191"/>
        <v>0.13045538664488476</v>
      </c>
      <c r="AF29" s="101">
        <f t="shared" si="191"/>
        <v>0.13045538664488476</v>
      </c>
      <c r="AG29" s="101">
        <f t="shared" si="191"/>
        <v>0.13045538664488476</v>
      </c>
      <c r="AH29" s="101">
        <f t="shared" si="191"/>
        <v>0.13045538664488476</v>
      </c>
      <c r="AI29" s="101">
        <f t="shared" si="191"/>
        <v>0.13045538664488476</v>
      </c>
      <c r="AJ29" s="101">
        <f t="shared" si="191"/>
        <v>0.13045538664488476</v>
      </c>
      <c r="AK29" s="101">
        <f t="shared" si="191"/>
        <v>0.13045538664488476</v>
      </c>
      <c r="AL29" s="101">
        <f t="shared" si="191"/>
        <v>0.13045538664488476</v>
      </c>
      <c r="AM29" s="101">
        <f t="shared" si="191"/>
        <v>0.13045538664488476</v>
      </c>
    </row>
    <row r="30" spans="1:40" s="81" customFormat="1" x14ac:dyDescent="0.25">
      <c r="A30" s="94"/>
      <c r="B30" s="117"/>
      <c r="C30" s="116"/>
      <c r="D30" s="116"/>
      <c r="E30" s="93"/>
      <c r="F30" s="93"/>
      <c r="G30" s="93"/>
      <c r="H30" s="93"/>
      <c r="I30" s="93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</row>
    <row r="31" spans="1:40" s="97" customFormat="1" x14ac:dyDescent="0.25">
      <c r="A31" s="55">
        <v>23</v>
      </c>
      <c r="B31" s="118" t="s">
        <v>44</v>
      </c>
      <c r="C31" s="119"/>
      <c r="D31" s="120">
        <v>8158</v>
      </c>
      <c r="E31" s="120">
        <v>7913</v>
      </c>
      <c r="F31" s="120">
        <v>7609</v>
      </c>
      <c r="G31" s="96">
        <f>F31-285</f>
        <v>7324</v>
      </c>
      <c r="H31" s="96">
        <f>G31-G31*2.66/100</f>
        <v>7129.1815999999999</v>
      </c>
      <c r="I31" s="96">
        <f t="shared" ref="I31:M31" si="192">H31-H31*2.66/100</f>
        <v>6939.5453694400003</v>
      </c>
      <c r="J31" s="96">
        <f t="shared" si="192"/>
        <v>6754.9534626128961</v>
      </c>
      <c r="K31" s="96">
        <f t="shared" si="192"/>
        <v>6575.2717005073928</v>
      </c>
      <c r="L31" s="96">
        <f t="shared" si="192"/>
        <v>6400.3694732738959</v>
      </c>
      <c r="M31" s="96">
        <f t="shared" si="192"/>
        <v>6230.1196452848098</v>
      </c>
      <c r="N31" s="96">
        <f t="shared" ref="N31" si="193">M31-M31*1/100</f>
        <v>6167.8184488319621</v>
      </c>
      <c r="O31" s="96">
        <f t="shared" ref="O31:O32" si="194">N31-N31*1/100</f>
        <v>6106.1402643436422</v>
      </c>
      <c r="P31" s="96">
        <f t="shared" ref="P31:P32" si="195">O31-O31*1/100</f>
        <v>6045.0788617002054</v>
      </c>
      <c r="Q31" s="96">
        <f t="shared" ref="Q31:Q32" si="196">P31-P31*1/100</f>
        <v>5984.6280730832032</v>
      </c>
      <c r="R31" s="96">
        <f t="shared" ref="R31:R32" si="197">Q31-Q31*1/100</f>
        <v>5924.7817923523708</v>
      </c>
      <c r="S31" s="96">
        <f t="shared" ref="S31:S32" si="198">R31-R31*1/100</f>
        <v>5865.5339744288467</v>
      </c>
      <c r="T31" s="96">
        <f t="shared" ref="T31:T32" si="199">S31-S31*1/100</f>
        <v>5806.8786346845582</v>
      </c>
      <c r="U31" s="96">
        <f t="shared" ref="U31:U32" si="200">T31-T31*1/100</f>
        <v>5748.8098483377125</v>
      </c>
      <c r="V31" s="96">
        <f t="shared" ref="V31:V32" si="201">U31-U31*1/100</f>
        <v>5691.3217498543354</v>
      </c>
      <c r="W31" s="96">
        <f t="shared" ref="W31:W32" si="202">V31-V31*1/100</f>
        <v>5634.408532355792</v>
      </c>
      <c r="X31" s="96">
        <f t="shared" ref="X31:X32" si="203">W31-W31*1/100</f>
        <v>5578.0644470322341</v>
      </c>
      <c r="Y31" s="96">
        <f t="shared" ref="Y31:Y32" si="204">X31-X31*1/100</f>
        <v>5522.2838025619121</v>
      </c>
      <c r="Z31" s="96">
        <f t="shared" ref="Z31:Z32" si="205">Y31-Y31*1/100</f>
        <v>5467.0609645362929</v>
      </c>
      <c r="AA31" s="96">
        <f t="shared" ref="AA31:AA32" si="206">Z31-Z31*1/100</f>
        <v>5412.3903548909302</v>
      </c>
      <c r="AB31" s="96">
        <f t="shared" ref="AB31:AB32" si="207">AA31-AA31*1/100</f>
        <v>5358.2664513420214</v>
      </c>
      <c r="AC31" s="96">
        <f t="shared" ref="AC31:AC32" si="208">AB31-AB31*1/100</f>
        <v>5304.6837868286011</v>
      </c>
      <c r="AD31" s="96">
        <f t="shared" ref="AD31:AD32" si="209">AC31-AC31*1/100</f>
        <v>5251.6369489603148</v>
      </c>
      <c r="AE31" s="96">
        <f t="shared" ref="AE31:AE32" si="210">AD31-AD31*1/100</f>
        <v>5199.1205794707121</v>
      </c>
      <c r="AF31" s="96">
        <f t="shared" ref="AF31:AF32" si="211">AE31-AE31*1/100</f>
        <v>5147.1293736760053</v>
      </c>
      <c r="AG31" s="96">
        <f t="shared" ref="AG31:AG32" si="212">AF31-AF31*1/100</f>
        <v>5095.658079939245</v>
      </c>
      <c r="AH31" s="96">
        <f t="shared" ref="AH31:AH32" si="213">AG31-AG31*1/100</f>
        <v>5044.7014991398528</v>
      </c>
      <c r="AI31" s="96">
        <f t="shared" ref="AI31:AI32" si="214">AH31-AH31*1/100</f>
        <v>4994.2544841484541</v>
      </c>
      <c r="AJ31" s="96">
        <f t="shared" ref="AJ31:AJ32" si="215">AI31-AI31*1/100</f>
        <v>4944.3119393069692</v>
      </c>
      <c r="AK31" s="96">
        <f t="shared" ref="AK31:AK32" si="216">AJ31-AJ31*1/100</f>
        <v>4894.8688199138996</v>
      </c>
      <c r="AL31" s="96">
        <f t="shared" ref="AL31:AL32" si="217">AK31-AK31*1/100</f>
        <v>4845.9201317147608</v>
      </c>
      <c r="AM31" s="96">
        <f t="shared" ref="AM31:AM32" si="218">AL31-AL31*1/100</f>
        <v>4797.4609303976131</v>
      </c>
    </row>
    <row r="32" spans="1:40" s="97" customFormat="1" x14ac:dyDescent="0.25">
      <c r="A32" s="55">
        <v>24</v>
      </c>
      <c r="B32" s="118" t="s">
        <v>45</v>
      </c>
      <c r="C32" s="119"/>
      <c r="D32" s="120">
        <v>8698</v>
      </c>
      <c r="E32" s="120">
        <v>8501</v>
      </c>
      <c r="F32" s="120">
        <v>8256</v>
      </c>
      <c r="G32" s="96">
        <f>F32-200</f>
        <v>8056</v>
      </c>
      <c r="H32" s="96">
        <f>G32-G32*1.59/100</f>
        <v>7927.9096</v>
      </c>
      <c r="I32" s="96">
        <f t="shared" ref="I32:M32" si="219">H32-H32*1.59/100</f>
        <v>7801.8558373599999</v>
      </c>
      <c r="J32" s="96">
        <f t="shared" si="219"/>
        <v>7677.806329545976</v>
      </c>
      <c r="K32" s="96">
        <f t="shared" si="219"/>
        <v>7555.7292089061948</v>
      </c>
      <c r="L32" s="96">
        <f t="shared" si="219"/>
        <v>7435.5931144845863</v>
      </c>
      <c r="M32" s="96">
        <f t="shared" si="219"/>
        <v>7317.3671839642811</v>
      </c>
      <c r="N32" s="96">
        <f t="shared" ref="N32" si="220">M32-M32*1/100</f>
        <v>7244.1935121246379</v>
      </c>
      <c r="O32" s="96">
        <f t="shared" si="194"/>
        <v>7171.7515770033915</v>
      </c>
      <c r="P32" s="96">
        <f t="shared" si="195"/>
        <v>7100.0340612333575</v>
      </c>
      <c r="Q32" s="96">
        <f t="shared" si="196"/>
        <v>7029.0337206210243</v>
      </c>
      <c r="R32" s="96">
        <f t="shared" si="197"/>
        <v>6958.7433834148142</v>
      </c>
      <c r="S32" s="96">
        <f t="shared" si="198"/>
        <v>6889.1559495806659</v>
      </c>
      <c r="T32" s="96">
        <f t="shared" si="199"/>
        <v>6820.2643900848589</v>
      </c>
      <c r="U32" s="96">
        <f t="shared" si="200"/>
        <v>6752.0617461840102</v>
      </c>
      <c r="V32" s="96">
        <f t="shared" si="201"/>
        <v>6684.5411287221705</v>
      </c>
      <c r="W32" s="96">
        <f t="shared" si="202"/>
        <v>6617.6957174349491</v>
      </c>
      <c r="X32" s="96">
        <f t="shared" si="203"/>
        <v>6551.5187602605993</v>
      </c>
      <c r="Y32" s="96">
        <f t="shared" si="204"/>
        <v>6486.0035726579936</v>
      </c>
      <c r="Z32" s="96">
        <f t="shared" si="205"/>
        <v>6421.143536931414</v>
      </c>
      <c r="AA32" s="96">
        <f t="shared" si="206"/>
        <v>6356.9321015620999</v>
      </c>
      <c r="AB32" s="96">
        <f t="shared" si="207"/>
        <v>6293.3627805464785</v>
      </c>
      <c r="AC32" s="96">
        <f t="shared" si="208"/>
        <v>6230.4291527410132</v>
      </c>
      <c r="AD32" s="96">
        <f t="shared" si="209"/>
        <v>6168.1248612136033</v>
      </c>
      <c r="AE32" s="96">
        <f t="shared" si="210"/>
        <v>6106.4436126014671</v>
      </c>
      <c r="AF32" s="96">
        <f t="shared" si="211"/>
        <v>6045.3791764754524</v>
      </c>
      <c r="AG32" s="96">
        <f t="shared" si="212"/>
        <v>5984.9253847106975</v>
      </c>
      <c r="AH32" s="96">
        <f t="shared" si="213"/>
        <v>5925.0761308635902</v>
      </c>
      <c r="AI32" s="96">
        <f t="shared" si="214"/>
        <v>5865.8253695549538</v>
      </c>
      <c r="AJ32" s="96">
        <f t="shared" si="215"/>
        <v>5807.1671158594045</v>
      </c>
      <c r="AK32" s="96">
        <f t="shared" si="216"/>
        <v>5749.0954447008107</v>
      </c>
      <c r="AL32" s="96">
        <f t="shared" si="217"/>
        <v>5691.6044902538024</v>
      </c>
      <c r="AM32" s="96">
        <f t="shared" si="218"/>
        <v>5634.6884453512648</v>
      </c>
    </row>
    <row r="33" spans="1:39" s="97" customFormat="1" x14ac:dyDescent="0.25">
      <c r="A33" s="55">
        <v>25</v>
      </c>
      <c r="B33" s="118" t="s">
        <v>69</v>
      </c>
      <c r="C33" s="119"/>
      <c r="D33" s="120">
        <f>D31+D32</f>
        <v>16856</v>
      </c>
      <c r="E33" s="120">
        <f t="shared" ref="E33:AB33" si="221">E31+E32</f>
        <v>16414</v>
      </c>
      <c r="F33" s="120">
        <f t="shared" si="221"/>
        <v>15865</v>
      </c>
      <c r="G33" s="120">
        <f t="shared" si="221"/>
        <v>15380</v>
      </c>
      <c r="H33" s="120">
        <f t="shared" si="221"/>
        <v>15057.091199999999</v>
      </c>
      <c r="I33" s="120">
        <f t="shared" si="221"/>
        <v>14741.401206800001</v>
      </c>
      <c r="J33" s="120">
        <f t="shared" si="221"/>
        <v>14432.759792158871</v>
      </c>
      <c r="K33" s="120">
        <f t="shared" si="221"/>
        <v>14131.000909413588</v>
      </c>
      <c r="L33" s="120">
        <f t="shared" si="221"/>
        <v>13835.962587758482</v>
      </c>
      <c r="M33" s="120">
        <f t="shared" si="221"/>
        <v>13547.48682924909</v>
      </c>
      <c r="N33" s="120">
        <f t="shared" si="221"/>
        <v>13412.011960956599</v>
      </c>
      <c r="O33" s="120">
        <f t="shared" si="221"/>
        <v>13277.891841347035</v>
      </c>
      <c r="P33" s="120">
        <f t="shared" si="221"/>
        <v>13145.112922933564</v>
      </c>
      <c r="Q33" s="120">
        <f t="shared" si="221"/>
        <v>13013.661793704228</v>
      </c>
      <c r="R33" s="120">
        <f t="shared" si="221"/>
        <v>12883.525175767185</v>
      </c>
      <c r="S33" s="120">
        <f t="shared" si="221"/>
        <v>12754.689924009512</v>
      </c>
      <c r="T33" s="120">
        <f t="shared" si="221"/>
        <v>12627.143024769417</v>
      </c>
      <c r="U33" s="120">
        <f t="shared" si="221"/>
        <v>12500.871594521723</v>
      </c>
      <c r="V33" s="120">
        <f t="shared" si="221"/>
        <v>12375.862878576507</v>
      </c>
      <c r="W33" s="120">
        <f t="shared" si="221"/>
        <v>12252.10424979074</v>
      </c>
      <c r="X33" s="120">
        <f t="shared" si="221"/>
        <v>12129.583207292833</v>
      </c>
      <c r="Y33" s="120">
        <f t="shared" si="221"/>
        <v>12008.287375219905</v>
      </c>
      <c r="Z33" s="120">
        <f t="shared" si="221"/>
        <v>11888.204501467706</v>
      </c>
      <c r="AA33" s="120">
        <f t="shared" si="221"/>
        <v>11769.32245645303</v>
      </c>
      <c r="AB33" s="120">
        <f t="shared" si="221"/>
        <v>11651.629231888499</v>
      </c>
      <c r="AC33" s="120">
        <f t="shared" ref="AC33:AM33" si="222">AC31+AC32</f>
        <v>11535.112939569615</v>
      </c>
      <c r="AD33" s="120">
        <f t="shared" si="222"/>
        <v>11419.761810173917</v>
      </c>
      <c r="AE33" s="120">
        <f t="shared" si="222"/>
        <v>11305.564192072179</v>
      </c>
      <c r="AF33" s="120">
        <f t="shared" si="222"/>
        <v>11192.508550151459</v>
      </c>
      <c r="AG33" s="120">
        <f t="shared" si="222"/>
        <v>11080.583464649942</v>
      </c>
      <c r="AH33" s="120">
        <f t="shared" si="222"/>
        <v>10969.777630003442</v>
      </c>
      <c r="AI33" s="120">
        <f t="shared" si="222"/>
        <v>10860.079853703408</v>
      </c>
      <c r="AJ33" s="120">
        <f t="shared" si="222"/>
        <v>10751.479055166374</v>
      </c>
      <c r="AK33" s="120">
        <f t="shared" si="222"/>
        <v>10643.964264614711</v>
      </c>
      <c r="AL33" s="120">
        <f t="shared" si="222"/>
        <v>10537.524621968563</v>
      </c>
      <c r="AM33" s="120">
        <f t="shared" si="222"/>
        <v>10432.149375748879</v>
      </c>
    </row>
    <row r="34" spans="1:39" s="81" customFormat="1" x14ac:dyDescent="0.25">
      <c r="A34" s="94">
        <v>26</v>
      </c>
      <c r="B34" s="117" t="s">
        <v>60</v>
      </c>
      <c r="C34" s="116"/>
      <c r="D34" s="116"/>
      <c r="E34" s="92">
        <f t="shared" ref="E34:J34" si="223">D33-E33</f>
        <v>442</v>
      </c>
      <c r="F34" s="92">
        <f t="shared" si="223"/>
        <v>549</v>
      </c>
      <c r="G34" s="92">
        <f t="shared" si="223"/>
        <v>485</v>
      </c>
      <c r="H34" s="92">
        <f t="shared" si="223"/>
        <v>322.90880000000107</v>
      </c>
      <c r="I34" s="92">
        <f t="shared" si="223"/>
        <v>315.68999319999784</v>
      </c>
      <c r="J34" s="92">
        <f t="shared" si="223"/>
        <v>308.64141464112981</v>
      </c>
      <c r="K34" s="92">
        <f t="shared" ref="K34:N34" si="224">J33-K33</f>
        <v>301.7588827452837</v>
      </c>
      <c r="L34" s="92">
        <f t="shared" si="224"/>
        <v>295.03832165510539</v>
      </c>
      <c r="M34" s="92">
        <f t="shared" si="224"/>
        <v>288.47575850939211</v>
      </c>
      <c r="N34" s="92">
        <f t="shared" si="224"/>
        <v>135.47486829249101</v>
      </c>
      <c r="O34" s="92">
        <f t="shared" ref="O34" si="225">N33-O33</f>
        <v>134.12011960956443</v>
      </c>
      <c r="P34" s="92">
        <f t="shared" ref="P34" si="226">O33-P33</f>
        <v>132.77891841347082</v>
      </c>
      <c r="Q34" s="92">
        <f t="shared" ref="Q34" si="227">P33-Q33</f>
        <v>131.45112922933549</v>
      </c>
      <c r="R34" s="92">
        <f t="shared" ref="R34" si="228">Q33-R33</f>
        <v>130.13661793704341</v>
      </c>
      <c r="S34" s="92">
        <f t="shared" ref="S34" si="229">R33-S33</f>
        <v>128.83525175767318</v>
      </c>
      <c r="T34" s="92">
        <f t="shared" ref="T34" si="230">S33-T33</f>
        <v>127.54689924009472</v>
      </c>
      <c r="U34" s="92">
        <f t="shared" ref="U34" si="231">T33-U33</f>
        <v>126.2714302476943</v>
      </c>
      <c r="V34" s="92">
        <f t="shared" ref="V34" si="232">U33-V33</f>
        <v>125.00871594521595</v>
      </c>
      <c r="W34" s="92">
        <f t="shared" ref="W34" si="233">V33-W33</f>
        <v>123.75862878576663</v>
      </c>
      <c r="X34" s="92">
        <f t="shared" ref="X34" si="234">W33-X33</f>
        <v>122.52104249790682</v>
      </c>
      <c r="Y34" s="92">
        <f t="shared" ref="Y34" si="235">X33-Y33</f>
        <v>121.29583207292853</v>
      </c>
      <c r="Z34" s="92">
        <f t="shared" ref="Z34" si="236">Y33-Z33</f>
        <v>120.08287375219879</v>
      </c>
      <c r="AA34" s="92">
        <f t="shared" ref="AA34" si="237">Z33-AA33</f>
        <v>118.8820450146759</v>
      </c>
      <c r="AB34" s="92">
        <f t="shared" ref="AB34" si="238">AA33-AB33</f>
        <v>117.69322456453119</v>
      </c>
      <c r="AC34" s="92">
        <f t="shared" ref="AC34" si="239">AB33-AC33</f>
        <v>116.51629231888364</v>
      </c>
      <c r="AD34" s="92">
        <f t="shared" ref="AD34" si="240">AC33-AD33</f>
        <v>115.35112939569808</v>
      </c>
      <c r="AE34" s="92">
        <f t="shared" ref="AE34" si="241">AD33-AE33</f>
        <v>114.19761810173804</v>
      </c>
      <c r="AF34" s="92">
        <f t="shared" ref="AF34" si="242">AE33-AF33</f>
        <v>113.05564192072052</v>
      </c>
      <c r="AG34" s="92">
        <f t="shared" ref="AG34" si="243">AF33-AG33</f>
        <v>111.92508550151615</v>
      </c>
      <c r="AH34" s="92">
        <f t="shared" ref="AH34" si="244">AG33-AH33</f>
        <v>110.80583464650044</v>
      </c>
      <c r="AI34" s="92">
        <f t="shared" ref="AI34" si="245">AH33-AI33</f>
        <v>109.69777630003409</v>
      </c>
      <c r="AJ34" s="92">
        <f t="shared" ref="AJ34" si="246">AI33-AJ33</f>
        <v>108.60079853703428</v>
      </c>
      <c r="AK34" s="92">
        <f t="shared" ref="AK34" si="247">AJ33-AK33</f>
        <v>107.51479055166237</v>
      </c>
      <c r="AL34" s="92">
        <f t="shared" ref="AL34" si="248">AK33-AL33</f>
        <v>106.43964264614806</v>
      </c>
      <c r="AM34" s="92">
        <f t="shared" ref="AM34" si="249">AL33-AM33</f>
        <v>105.37524621968441</v>
      </c>
    </row>
    <row r="35" spans="1:39" s="81" customFormat="1" x14ac:dyDescent="0.25">
      <c r="D35" s="121"/>
      <c r="E35" s="121"/>
      <c r="F35" s="121"/>
      <c r="G35" s="121"/>
      <c r="H35" s="121">
        <f>H34/G33</f>
        <v>2.0995370611183423E-2</v>
      </c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>
        <v>0</v>
      </c>
    </row>
    <row r="36" spans="1:39" s="81" customFormat="1" x14ac:dyDescent="0.25">
      <c r="B36" s="123"/>
      <c r="E36" s="102"/>
      <c r="F36" s="124"/>
      <c r="G36" s="122"/>
      <c r="H36" s="124">
        <v>195</v>
      </c>
      <c r="I36" s="124"/>
      <c r="J36" s="125"/>
      <c r="K36" s="126"/>
      <c r="L36" s="126"/>
      <c r="M36" s="126"/>
      <c r="N36" s="125"/>
      <c r="O36" s="125"/>
      <c r="P36" s="125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</row>
    <row r="37" spans="1:39" s="81" customFormat="1" ht="30" x14ac:dyDescent="0.25">
      <c r="B37" s="127" t="s">
        <v>74</v>
      </c>
      <c r="E37" s="128"/>
      <c r="F37" s="121"/>
      <c r="G37" s="121"/>
      <c r="H37" s="121">
        <f>H36/G31</f>
        <v>2.6624795193883125E-2</v>
      </c>
      <c r="I37" s="128"/>
      <c r="J37" s="128"/>
      <c r="K37" s="129"/>
      <c r="L37" s="129"/>
      <c r="M37" s="129"/>
    </row>
    <row r="38" spans="1:39" s="81" customFormat="1" ht="30" x14ac:dyDescent="0.25">
      <c r="B38" s="127" t="s">
        <v>75</v>
      </c>
      <c r="C38" s="128"/>
      <c r="D38" s="128"/>
      <c r="F38" s="122"/>
      <c r="G38" s="122"/>
      <c r="H38" s="128">
        <v>128</v>
      </c>
      <c r="I38" s="128"/>
    </row>
    <row r="39" spans="1:39" s="81" customFormat="1" x14ac:dyDescent="0.25">
      <c r="F39" s="121"/>
      <c r="G39" s="121"/>
      <c r="H39" s="121">
        <f>H38/G32</f>
        <v>1.5888778550148957E-2</v>
      </c>
      <c r="I39" s="128"/>
    </row>
    <row r="40" spans="1:39" s="81" customFormat="1" x14ac:dyDescent="0.25">
      <c r="E40" s="122"/>
      <c r="F40" s="122"/>
      <c r="G40" s="130"/>
      <c r="H40" s="122"/>
      <c r="I40" s="122"/>
      <c r="K40" s="102"/>
      <c r="L40" s="128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</row>
    <row r="41" spans="1:39" s="81" customFormat="1" x14ac:dyDescent="0.25">
      <c r="E41" s="128"/>
      <c r="F41" s="128"/>
      <c r="G41" s="128"/>
      <c r="H41" s="128"/>
      <c r="I41" s="128"/>
      <c r="J41" s="122"/>
      <c r="K41" s="122"/>
      <c r="L41" s="122"/>
      <c r="M41" s="122"/>
      <c r="N41" s="122"/>
    </row>
    <row r="42" spans="1:39" s="81" customFormat="1" x14ac:dyDescent="0.25">
      <c r="E42" s="121"/>
      <c r="F42" s="121"/>
      <c r="G42" s="121"/>
      <c r="H42" s="121"/>
      <c r="I42" s="121"/>
      <c r="J42" s="128"/>
    </row>
    <row r="43" spans="1:39" s="81" customFormat="1" x14ac:dyDescent="0.25">
      <c r="E43" s="122"/>
      <c r="F43" s="122"/>
      <c r="G43" s="102"/>
      <c r="H43" s="122"/>
      <c r="I43" s="122"/>
      <c r="J43" s="122"/>
      <c r="K43" s="122"/>
    </row>
    <row r="44" spans="1:39" s="81" customFormat="1" x14ac:dyDescent="0.25">
      <c r="G44" s="122"/>
      <c r="H44" s="122"/>
    </row>
    <row r="45" spans="1:39" s="81" customFormat="1" x14ac:dyDescent="0.25">
      <c r="G45" s="128"/>
      <c r="H45" s="128"/>
    </row>
    <row r="46" spans="1:39" s="81" customFormat="1" x14ac:dyDescent="0.25">
      <c r="E46" s="102"/>
      <c r="F46" s="128"/>
      <c r="G46" s="102"/>
    </row>
    <row r="47" spans="1:39" s="81" customFormat="1" x14ac:dyDescent="0.25">
      <c r="C47" s="128"/>
      <c r="D47" s="128"/>
      <c r="E47" s="102"/>
      <c r="F47" s="128"/>
      <c r="G47" s="102"/>
    </row>
    <row r="48" spans="1:39" s="81" customFormat="1" x14ac:dyDescent="0.25">
      <c r="C48" s="128"/>
      <c r="D48" s="128"/>
      <c r="E48" s="102"/>
      <c r="F48" s="128"/>
      <c r="G48" s="102"/>
    </row>
    <row r="49" spans="3:7" s="81" customFormat="1" x14ac:dyDescent="0.25">
      <c r="C49" s="128"/>
      <c r="D49" s="128"/>
      <c r="E49" s="102"/>
      <c r="F49" s="128"/>
      <c r="G49" s="102"/>
    </row>
    <row r="50" spans="3:7" s="81" customFormat="1" x14ac:dyDescent="0.25">
      <c r="C50" s="128"/>
      <c r="D50" s="128"/>
      <c r="E50" s="131"/>
      <c r="F50" s="128"/>
      <c r="G50" s="102"/>
    </row>
    <row r="51" spans="3:7" s="81" customFormat="1" x14ac:dyDescent="0.25">
      <c r="C51" s="128"/>
      <c r="D51" s="128"/>
      <c r="E51" s="132"/>
      <c r="F51" s="128"/>
      <c r="G51" s="102"/>
    </row>
    <row r="52" spans="3:7" s="81" customFormat="1" x14ac:dyDescent="0.25">
      <c r="C52" s="128"/>
      <c r="D52" s="128"/>
      <c r="E52" s="132"/>
      <c r="F52" s="128"/>
      <c r="G52" s="102"/>
    </row>
    <row r="53" spans="3:7" s="81" customFormat="1" x14ac:dyDescent="0.25">
      <c r="C53" s="128"/>
      <c r="D53" s="128"/>
      <c r="F53" s="128"/>
      <c r="G53" s="102"/>
    </row>
    <row r="54" spans="3:7" s="81" customFormat="1" x14ac:dyDescent="0.25">
      <c r="C54" s="128"/>
      <c r="D54" s="128"/>
      <c r="F54" s="128"/>
      <c r="G54" s="102"/>
    </row>
    <row r="55" spans="3:7" s="81" customFormat="1" x14ac:dyDescent="0.25">
      <c r="C55" s="128"/>
      <c r="D55" s="128"/>
      <c r="F55" s="128"/>
      <c r="G55" s="102"/>
    </row>
    <row r="56" spans="3:7" s="81" customFormat="1" x14ac:dyDescent="0.25">
      <c r="C56" s="128"/>
      <c r="D56" s="128"/>
      <c r="F56" s="128"/>
      <c r="G56" s="102"/>
    </row>
    <row r="57" spans="3:7" s="81" customFormat="1" x14ac:dyDescent="0.25">
      <c r="C57" s="128"/>
      <c r="D57" s="128"/>
      <c r="F57" s="128"/>
      <c r="G57" s="102"/>
    </row>
    <row r="58" spans="3:7" s="81" customFormat="1" x14ac:dyDescent="0.25">
      <c r="C58" s="128"/>
      <c r="D58" s="128"/>
      <c r="F58" s="128"/>
      <c r="G58" s="102"/>
    </row>
    <row r="59" spans="3:7" s="81" customFormat="1" x14ac:dyDescent="0.25">
      <c r="C59" s="128"/>
      <c r="D59" s="128"/>
      <c r="F59" s="128"/>
      <c r="G59" s="102"/>
    </row>
    <row r="60" spans="3:7" s="81" customFormat="1" x14ac:dyDescent="0.25">
      <c r="C60" s="128"/>
      <c r="D60" s="128"/>
      <c r="F60" s="128"/>
      <c r="G60" s="102"/>
    </row>
    <row r="61" spans="3:7" s="81" customFormat="1" x14ac:dyDescent="0.25">
      <c r="C61" s="128"/>
      <c r="D61" s="128"/>
      <c r="F61" s="128"/>
      <c r="G61" s="102"/>
    </row>
    <row r="62" spans="3:7" s="81" customFormat="1" x14ac:dyDescent="0.25">
      <c r="C62" s="128"/>
      <c r="D62" s="128"/>
      <c r="F62" s="128"/>
      <c r="G62" s="102"/>
    </row>
    <row r="63" spans="3:7" s="81" customFormat="1" x14ac:dyDescent="0.25">
      <c r="C63" s="128"/>
      <c r="D63" s="128"/>
      <c r="F63" s="128"/>
      <c r="G63" s="102"/>
    </row>
    <row r="64" spans="3:7" s="81" customFormat="1" x14ac:dyDescent="0.25">
      <c r="C64" s="128"/>
      <c r="D64" s="128"/>
      <c r="F64" s="128"/>
      <c r="G64" s="102"/>
    </row>
    <row r="65" spans="3:7" x14ac:dyDescent="0.25">
      <c r="C65" s="2"/>
      <c r="D65" s="2"/>
      <c r="F65" s="43"/>
      <c r="G65" s="44"/>
    </row>
    <row r="66" spans="3:7" x14ac:dyDescent="0.25">
      <c r="C66" s="2"/>
      <c r="D66" s="2"/>
      <c r="F66" s="43"/>
      <c r="G66" s="44"/>
    </row>
    <row r="67" spans="3:7" x14ac:dyDescent="0.25">
      <c r="C67" s="2"/>
      <c r="D67" s="2"/>
      <c r="F67" s="43"/>
      <c r="G67" s="44"/>
    </row>
    <row r="68" spans="3:7" x14ac:dyDescent="0.25">
      <c r="C68" s="2"/>
      <c r="D68" s="2"/>
      <c r="F68" s="43"/>
      <c r="G68" s="44"/>
    </row>
  </sheetData>
  <phoneticPr fontId="4" type="noConversion"/>
  <pageMargins left="0.45" right="0.2" top="0.5" bottom="0.75" header="0.3" footer="0.3"/>
  <pageSetup paperSize="8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20"/>
  <sheetViews>
    <sheetView tabSelected="1" topLeftCell="I1" zoomScale="85" zoomScaleNormal="85" workbookViewId="0">
      <selection activeCell="AL71" sqref="AL71"/>
    </sheetView>
  </sheetViews>
  <sheetFormatPr defaultRowHeight="15" x14ac:dyDescent="0.25"/>
  <cols>
    <col min="1" max="1" width="9.140625" style="4"/>
    <col min="2" max="2" width="51.28515625" style="4" customWidth="1"/>
    <col min="3" max="3" width="11.42578125" style="7" customWidth="1"/>
    <col min="4" max="4" width="12.5703125" style="7" hidden="1" customWidth="1"/>
    <col min="5" max="5" width="14.28515625" style="7" hidden="1" customWidth="1"/>
    <col min="6" max="6" width="11" style="7" hidden="1" customWidth="1"/>
    <col min="7" max="7" width="11.7109375" style="7" customWidth="1"/>
    <col min="8" max="8" width="9.5703125" style="7" bestFit="1" customWidth="1"/>
    <col min="9" max="9" width="9.7109375" style="7" customWidth="1"/>
    <col min="10" max="10" width="10.28515625" style="7" customWidth="1"/>
    <col min="11" max="11" width="10.42578125" style="7" customWidth="1"/>
    <col min="12" max="12" width="10.5703125" style="7" customWidth="1"/>
    <col min="13" max="13" width="10" style="7" customWidth="1"/>
    <col min="14" max="14" width="10.42578125" style="7" customWidth="1"/>
    <col min="15" max="15" width="10.28515625" style="7" customWidth="1"/>
    <col min="16" max="17" width="9.7109375" style="7" customWidth="1"/>
    <col min="18" max="18" width="10.28515625" style="7" customWidth="1"/>
    <col min="19" max="20" width="10" style="7" customWidth="1"/>
    <col min="21" max="27" width="9.7109375" style="7" customWidth="1"/>
    <col min="28" max="16384" width="9.140625" style="4"/>
  </cols>
  <sheetData>
    <row r="1" spans="1:38" ht="28.5" x14ac:dyDescent="0.25">
      <c r="G1" s="46"/>
    </row>
    <row r="2" spans="1:38" x14ac:dyDescent="0.25">
      <c r="B2" s="5" t="s">
        <v>70</v>
      </c>
      <c r="C2" s="6"/>
    </row>
    <row r="3" spans="1:38" hidden="1" x14ac:dyDescent="0.25"/>
    <row r="4" spans="1:38" s="11" customFormat="1" x14ac:dyDescent="0.25">
      <c r="A4" s="8"/>
      <c r="B4" s="9" t="s">
        <v>13</v>
      </c>
      <c r="C4" s="9"/>
      <c r="D4" s="10">
        <v>2019</v>
      </c>
      <c r="E4" s="10">
        <v>2020</v>
      </c>
      <c r="F4" s="10">
        <v>2021</v>
      </c>
      <c r="G4" s="10">
        <v>2022</v>
      </c>
      <c r="H4" s="10">
        <f>G4+1</f>
        <v>2023</v>
      </c>
      <c r="I4" s="10">
        <f t="shared" ref="I4:AL4" si="0">H4+1</f>
        <v>2024</v>
      </c>
      <c r="J4" s="10">
        <f t="shared" si="0"/>
        <v>2025</v>
      </c>
      <c r="K4" s="10">
        <f t="shared" si="0"/>
        <v>2026</v>
      </c>
      <c r="L4" s="10">
        <f t="shared" si="0"/>
        <v>2027</v>
      </c>
      <c r="M4" s="10">
        <f t="shared" si="0"/>
        <v>2028</v>
      </c>
      <c r="N4" s="10">
        <f t="shared" si="0"/>
        <v>2029</v>
      </c>
      <c r="O4" s="10">
        <f t="shared" si="0"/>
        <v>2030</v>
      </c>
      <c r="P4" s="10">
        <f t="shared" si="0"/>
        <v>2031</v>
      </c>
      <c r="Q4" s="10">
        <f t="shared" si="0"/>
        <v>2032</v>
      </c>
      <c r="R4" s="10">
        <f t="shared" si="0"/>
        <v>2033</v>
      </c>
      <c r="S4" s="10">
        <f t="shared" si="0"/>
        <v>2034</v>
      </c>
      <c r="T4" s="10">
        <f t="shared" si="0"/>
        <v>2035</v>
      </c>
      <c r="U4" s="10">
        <f t="shared" si="0"/>
        <v>2036</v>
      </c>
      <c r="V4" s="10">
        <f t="shared" si="0"/>
        <v>2037</v>
      </c>
      <c r="W4" s="10">
        <f t="shared" si="0"/>
        <v>2038</v>
      </c>
      <c r="X4" s="10">
        <f t="shared" si="0"/>
        <v>2039</v>
      </c>
      <c r="Y4" s="10">
        <f t="shared" si="0"/>
        <v>2040</v>
      </c>
      <c r="Z4" s="10">
        <f t="shared" si="0"/>
        <v>2041</v>
      </c>
      <c r="AA4" s="10">
        <f t="shared" si="0"/>
        <v>2042</v>
      </c>
      <c r="AB4" s="10">
        <f t="shared" si="0"/>
        <v>2043</v>
      </c>
      <c r="AC4" s="10">
        <f t="shared" si="0"/>
        <v>2044</v>
      </c>
      <c r="AD4" s="10">
        <f t="shared" si="0"/>
        <v>2045</v>
      </c>
      <c r="AE4" s="10">
        <f t="shared" si="0"/>
        <v>2046</v>
      </c>
      <c r="AF4" s="10">
        <f t="shared" si="0"/>
        <v>2047</v>
      </c>
      <c r="AG4" s="10">
        <f t="shared" si="0"/>
        <v>2048</v>
      </c>
      <c r="AH4" s="10">
        <f t="shared" si="0"/>
        <v>2049</v>
      </c>
      <c r="AI4" s="10">
        <f t="shared" si="0"/>
        <v>2050</v>
      </c>
      <c r="AJ4" s="10">
        <f t="shared" si="0"/>
        <v>2051</v>
      </c>
      <c r="AK4" s="10">
        <f t="shared" si="0"/>
        <v>2052</v>
      </c>
      <c r="AL4" s="10">
        <f t="shared" si="0"/>
        <v>2053</v>
      </c>
    </row>
    <row r="5" spans="1:38" s="57" customFormat="1" x14ac:dyDescent="0.25">
      <c r="A5" s="53"/>
      <c r="B5" s="54" t="s">
        <v>14</v>
      </c>
      <c r="C5" s="55" t="s">
        <v>15</v>
      </c>
      <c r="D5" s="56">
        <f>'Anexa 1'!E22</f>
        <v>680.08704479999994</v>
      </c>
      <c r="E5" s="56">
        <f>'Anexa 1'!F22</f>
        <v>644.41969559999995</v>
      </c>
      <c r="F5" s="56">
        <f>'Anexa 1'!G22</f>
        <v>700.25486039999987</v>
      </c>
      <c r="G5" s="56">
        <f>'Anexa 1'!H22</f>
        <v>627.36685919999991</v>
      </c>
      <c r="H5" s="56">
        <f>'Anexa 1'!I22</f>
        <v>617.92530080233951</v>
      </c>
      <c r="I5" s="56">
        <f>'Anexa 1'!J22</f>
        <v>608.75237755496948</v>
      </c>
      <c r="J5" s="56">
        <f>'Anexa 1'!K22</f>
        <v>599.84001577078038</v>
      </c>
      <c r="K5" s="56">
        <f>'Anexa 1'!L22</f>
        <v>591.18039514353109</v>
      </c>
      <c r="L5" s="56">
        <f>'Anexa 1'!M22</f>
        <v>582.76594053284441</v>
      </c>
      <c r="M5" s="56">
        <f>'Anexa 1'!N22</f>
        <v>577.08026927490869</v>
      </c>
      <c r="N5" s="56">
        <f>'Anexa 1'!O22</f>
        <v>571.49913566388841</v>
      </c>
      <c r="O5" s="56">
        <f>'Anexa 1'!P22</f>
        <v>566.02061626182422</v>
      </c>
      <c r="P5" s="56">
        <f>'Anexa 1'!Q22</f>
        <v>560.64282304574022</v>
      </c>
      <c r="Q5" s="56">
        <f>'Anexa 1'!R22</f>
        <v>555.36390275513168</v>
      </c>
      <c r="R5" s="56">
        <f>'Anexa 1'!S22</f>
        <v>551.41940559381101</v>
      </c>
      <c r="S5" s="56">
        <f>'Anexa 1'!T22</f>
        <v>547.54852261076348</v>
      </c>
      <c r="T5" s="56">
        <f>'Anexa 1'!U22</f>
        <v>543.74987998138704</v>
      </c>
      <c r="U5" s="56">
        <f>'Anexa 1'!V22</f>
        <v>540.02212952008153</v>
      </c>
      <c r="V5" s="56">
        <f>'Anexa 1'!W22</f>
        <v>536.36394820175997</v>
      </c>
      <c r="W5" s="56">
        <f>'Anexa 1'!X22</f>
        <v>532.77403769229159</v>
      </c>
      <c r="X5" s="56">
        <f>'Anexa 1'!Y22</f>
        <v>529.25112388770617</v>
      </c>
      <c r="Y5" s="56">
        <f>'Anexa 1'!Z22</f>
        <v>525.79395646199896</v>
      </c>
      <c r="Z5" s="56">
        <f>'Anexa 1'!AA22</f>
        <v>522.40130842337385</v>
      </c>
      <c r="AA5" s="56">
        <f>'Anexa 1'!AB22</f>
        <v>519.07197567876972</v>
      </c>
      <c r="AB5" s="56">
        <f>'Anexa 1'!AC22</f>
        <v>515.80477660651172</v>
      </c>
      <c r="AC5" s="56">
        <f>'Anexa 1'!AD22</f>
        <v>514.08677260406182</v>
      </c>
      <c r="AD5" s="56">
        <f>'Anexa 1'!AE22</f>
        <v>512.38594864163645</v>
      </c>
      <c r="AE5" s="56">
        <f>'Anexa 1'!AF22</f>
        <v>510.70213291883545</v>
      </c>
      <c r="AF5" s="56">
        <f>'Anexa 1'!AG22</f>
        <v>509.03515535326233</v>
      </c>
      <c r="AG5" s="56">
        <f>'Anexa 1'!AH22</f>
        <v>507.38484756334492</v>
      </c>
      <c r="AH5" s="56">
        <f>'Anexa 1'!AI22</f>
        <v>505.75104285132682</v>
      </c>
      <c r="AI5" s="56">
        <f>'Anexa 1'!AJ22</f>
        <v>504.1335761864288</v>
      </c>
      <c r="AJ5" s="56">
        <f>'Anexa 1'!AK22</f>
        <v>502.5322841881798</v>
      </c>
      <c r="AK5" s="56">
        <f>'Anexa 1'!AL22</f>
        <v>500.94700510991328</v>
      </c>
      <c r="AL5" s="56">
        <f>'Anexa 1'!AM22</f>
        <v>499.37757882242943</v>
      </c>
    </row>
    <row r="6" spans="1:38" s="57" customFormat="1" x14ac:dyDescent="0.25">
      <c r="A6" s="53"/>
      <c r="B6" s="54" t="s">
        <v>57</v>
      </c>
      <c r="C6" s="55" t="s">
        <v>15</v>
      </c>
      <c r="D6" s="56">
        <f>'Anexa 1'!E20</f>
        <v>404.62909919999998</v>
      </c>
      <c r="E6" s="56">
        <f>'Anexa 1'!F20</f>
        <v>365.06802599999997</v>
      </c>
      <c r="F6" s="56">
        <f>'Anexa 1'!G20</f>
        <v>390.87546119999996</v>
      </c>
      <c r="G6" s="56">
        <f>'Anexa 1'!H20</f>
        <v>354.06930239999997</v>
      </c>
      <c r="H6" s="56">
        <f>'Anexa 1'!I20</f>
        <v>344.62774400233957</v>
      </c>
      <c r="I6" s="56">
        <f>'Anexa 1'!J20</f>
        <v>335.45482075496955</v>
      </c>
      <c r="J6" s="56">
        <f>'Anexa 1'!K20</f>
        <v>326.54245897078039</v>
      </c>
      <c r="K6" s="56">
        <f>'Anexa 1'!L20</f>
        <v>317.88283834353115</v>
      </c>
      <c r="L6" s="56">
        <f>'Anexa 1'!M20</f>
        <v>309.46838373284447</v>
      </c>
      <c r="M6" s="56">
        <f>'Anexa 1'!N20</f>
        <v>303.78271247490881</v>
      </c>
      <c r="N6" s="56">
        <f>'Anexa 1'!O20</f>
        <v>298.20157886388847</v>
      </c>
      <c r="O6" s="56">
        <f>'Anexa 1'!P20</f>
        <v>292.72305946182433</v>
      </c>
      <c r="P6" s="56">
        <f>'Anexa 1'!Q20</f>
        <v>287.34526624574028</v>
      </c>
      <c r="Q6" s="56">
        <f>'Anexa 1'!R20</f>
        <v>282.06634595513168</v>
      </c>
      <c r="R6" s="56">
        <f>'Anexa 1'!S20</f>
        <v>278.12184879381101</v>
      </c>
      <c r="S6" s="56">
        <f>'Anexa 1'!T20</f>
        <v>274.25096581076355</v>
      </c>
      <c r="T6" s="56">
        <f>'Anexa 1'!U20</f>
        <v>270.45232318138716</v>
      </c>
      <c r="U6" s="56">
        <f>'Anexa 1'!V20</f>
        <v>266.72457272008154</v>
      </c>
      <c r="V6" s="56">
        <f>'Anexa 1'!W20</f>
        <v>263.06639140176003</v>
      </c>
      <c r="W6" s="56">
        <f>'Anexa 1'!X20</f>
        <v>259.47648089229165</v>
      </c>
      <c r="X6" s="56">
        <f>'Anexa 1'!Y20</f>
        <v>255.95356708770629</v>
      </c>
      <c r="Y6" s="56">
        <f>'Anexa 1'!Z20</f>
        <v>252.49639966199899</v>
      </c>
      <c r="Z6" s="56">
        <f>'Anexa 1'!AA20</f>
        <v>249.10375162337397</v>
      </c>
      <c r="AA6" s="56">
        <f>'Anexa 1'!AB20</f>
        <v>245.77441887876975</v>
      </c>
      <c r="AB6" s="56">
        <f>'Anexa 1'!AC20</f>
        <v>242.50721980651173</v>
      </c>
      <c r="AC6" s="56">
        <f>'Anexa 1'!AD20</f>
        <v>240.78921580406185</v>
      </c>
      <c r="AD6" s="56">
        <f>'Anexa 1'!AE20</f>
        <v>239.08839184163654</v>
      </c>
      <c r="AE6" s="56">
        <f>'Anexa 1'!AF20</f>
        <v>237.40457611883548</v>
      </c>
      <c r="AF6" s="56">
        <f>'Anexa 1'!AG20</f>
        <v>235.73759855326239</v>
      </c>
      <c r="AG6" s="56">
        <f>'Anexa 1'!AH20</f>
        <v>234.08729076334501</v>
      </c>
      <c r="AH6" s="56">
        <f>'Anexa 1'!AI20</f>
        <v>232.45348605132685</v>
      </c>
      <c r="AI6" s="56">
        <f>'Anexa 1'!AJ20</f>
        <v>230.83601938642886</v>
      </c>
      <c r="AJ6" s="56">
        <f>'Anexa 1'!AK20</f>
        <v>229.23472738817986</v>
      </c>
      <c r="AK6" s="56">
        <f>'Anexa 1'!AL20</f>
        <v>227.64944830991334</v>
      </c>
      <c r="AL6" s="56">
        <f>'Anexa 1'!AM20</f>
        <v>226.08002202242949</v>
      </c>
    </row>
    <row r="7" spans="1:38" s="57" customFormat="1" x14ac:dyDescent="0.25">
      <c r="A7" s="53"/>
      <c r="B7" s="54" t="s">
        <v>16</v>
      </c>
      <c r="C7" s="58" t="s">
        <v>17</v>
      </c>
      <c r="D7" s="56">
        <f t="shared" ref="D7:AA7" si="1">D8*100/D5</f>
        <v>40.503336698761352</v>
      </c>
      <c r="E7" s="56">
        <f t="shared" si="1"/>
        <v>43.349337630021374</v>
      </c>
      <c r="F7" s="56">
        <f t="shared" si="1"/>
        <v>44.18097134281598</v>
      </c>
      <c r="G7" s="56">
        <f t="shared" si="1"/>
        <v>43.562638477349772</v>
      </c>
      <c r="H7" s="56">
        <f t="shared" si="1"/>
        <v>44.228251609885405</v>
      </c>
      <c r="I7" s="56">
        <f t="shared" si="1"/>
        <v>44.894700518080782</v>
      </c>
      <c r="J7" s="56">
        <f t="shared" si="1"/>
        <v>45.561741400132995</v>
      </c>
      <c r="K7" s="56">
        <f t="shared" si="1"/>
        <v>46.229130574204305</v>
      </c>
      <c r="L7" s="56">
        <f t="shared" si="1"/>
        <v>46.896624835369394</v>
      </c>
      <c r="M7" s="56">
        <f t="shared" si="1"/>
        <v>47.358672848647828</v>
      </c>
      <c r="N7" s="56">
        <f t="shared" si="1"/>
        <v>47.821167127841896</v>
      </c>
      <c r="O7" s="56">
        <f t="shared" si="1"/>
        <v>48.284028699332865</v>
      </c>
      <c r="P7" s="56">
        <f t="shared" si="1"/>
        <v>48.74717833990767</v>
      </c>
      <c r="Q7" s="56">
        <f t="shared" si="1"/>
        <v>49.210536630880199</v>
      </c>
      <c r="R7" s="56">
        <f t="shared" si="1"/>
        <v>49.562556926282276</v>
      </c>
      <c r="S7" s="56">
        <f t="shared" si="1"/>
        <v>49.912938399850148</v>
      </c>
      <c r="T7" s="56">
        <f t="shared" si="1"/>
        <v>50.261630735321745</v>
      </c>
      <c r="U7" s="56">
        <f t="shared" si="1"/>
        <v>50.608584696867865</v>
      </c>
      <c r="V7" s="56">
        <f t="shared" si="1"/>
        <v>50.953752152110653</v>
      </c>
      <c r="W7" s="56">
        <f t="shared" si="1"/>
        <v>51.297086093719415</v>
      </c>
      <c r="X7" s="56">
        <f t="shared" si="1"/>
        <v>51.638540659572946</v>
      </c>
      <c r="Y7" s="56">
        <f t="shared" si="1"/>
        <v>51.978071151480066</v>
      </c>
      <c r="Z7" s="56">
        <f t="shared" si="1"/>
        <v>52.315634052453262</v>
      </c>
      <c r="AA7" s="56">
        <f t="shared" si="1"/>
        <v>52.651187042532904</v>
      </c>
      <c r="AB7" s="56">
        <f t="shared" ref="AB7:AL7" si="2">AB8*100/AB5</f>
        <v>52.984689013162921</v>
      </c>
      <c r="AC7" s="56">
        <f t="shared" si="2"/>
        <v>53.16175621785306</v>
      </c>
      <c r="AD7" s="56">
        <f t="shared" si="2"/>
        <v>53.338222393593526</v>
      </c>
      <c r="AE7" s="56">
        <f t="shared" si="2"/>
        <v>53.514081728621726</v>
      </c>
      <c r="AF7" s="56">
        <f t="shared" si="2"/>
        <v>53.689328512160579</v>
      </c>
      <c r="AG7" s="56">
        <f t="shared" si="2"/>
        <v>53.863957134801879</v>
      </c>
      <c r="AH7" s="56">
        <f t="shared" si="2"/>
        <v>54.037962088857206</v>
      </c>
      <c r="AI7" s="56">
        <f t="shared" si="2"/>
        <v>54.21133796867646</v>
      </c>
      <c r="AJ7" s="56">
        <f t="shared" si="2"/>
        <v>54.384079470934068</v>
      </c>
      <c r="AK7" s="56">
        <f t="shared" si="2"/>
        <v>54.556181394883367</v>
      </c>
      <c r="AL7" s="56">
        <f t="shared" si="2"/>
        <v>54.72763864257913</v>
      </c>
    </row>
    <row r="8" spans="1:38" s="57" customFormat="1" x14ac:dyDescent="0.25">
      <c r="A8" s="53"/>
      <c r="B8" s="59"/>
      <c r="C8" s="55" t="s">
        <v>15</v>
      </c>
      <c r="D8" s="56">
        <f>'Anexa 1'!E21</f>
        <v>275.45794559999996</v>
      </c>
      <c r="E8" s="56">
        <f>'Anexa 1'!F21</f>
        <v>279.35166959999998</v>
      </c>
      <c r="F8" s="56">
        <f>'Anexa 1'!G21</f>
        <v>309.37939919999997</v>
      </c>
      <c r="G8" s="56">
        <f>'Anexa 1'!H21</f>
        <v>273.29755679999994</v>
      </c>
      <c r="H8" s="56">
        <f>'Anexa 1'!I21</f>
        <v>273.29755679999994</v>
      </c>
      <c r="I8" s="56">
        <f>'Anexa 1'!J21</f>
        <v>273.29755679999994</v>
      </c>
      <c r="J8" s="56">
        <f>'Anexa 1'!K21</f>
        <v>273.29755679999994</v>
      </c>
      <c r="K8" s="56">
        <f>'Anexa 1'!L21</f>
        <v>273.29755679999994</v>
      </c>
      <c r="L8" s="56">
        <f>'Anexa 1'!M21</f>
        <v>273.29755679999994</v>
      </c>
      <c r="M8" s="56">
        <f>'Anexa 1'!N21</f>
        <v>273.29755679999994</v>
      </c>
      <c r="N8" s="56">
        <f>'Anexa 1'!O21</f>
        <v>273.29755679999994</v>
      </c>
      <c r="O8" s="56">
        <f>'Anexa 1'!P21</f>
        <v>273.29755679999994</v>
      </c>
      <c r="P8" s="56">
        <f>'Anexa 1'!Q21</f>
        <v>273.29755679999994</v>
      </c>
      <c r="Q8" s="56">
        <f>'Anexa 1'!R21</f>
        <v>273.29755679999994</v>
      </c>
      <c r="R8" s="56">
        <f>'Anexa 1'!S21</f>
        <v>273.29755679999994</v>
      </c>
      <c r="S8" s="56">
        <f>'Anexa 1'!T21</f>
        <v>273.29755679999994</v>
      </c>
      <c r="T8" s="56">
        <f>'Anexa 1'!U21</f>
        <v>273.29755679999994</v>
      </c>
      <c r="U8" s="56">
        <f>'Anexa 1'!V21</f>
        <v>273.29755679999994</v>
      </c>
      <c r="V8" s="56">
        <f>'Anexa 1'!W21</f>
        <v>273.29755679999994</v>
      </c>
      <c r="W8" s="56">
        <f>'Anexa 1'!X21</f>
        <v>273.29755679999994</v>
      </c>
      <c r="X8" s="56">
        <f>'Anexa 1'!Y21</f>
        <v>273.29755679999994</v>
      </c>
      <c r="Y8" s="56">
        <f>'Anexa 1'!Z21</f>
        <v>273.29755679999994</v>
      </c>
      <c r="Z8" s="56">
        <f>'Anexa 1'!AA21</f>
        <v>273.29755679999994</v>
      </c>
      <c r="AA8" s="56">
        <f>'Anexa 1'!AB21</f>
        <v>273.29755679999994</v>
      </c>
      <c r="AB8" s="56">
        <f>'Anexa 1'!AC21</f>
        <v>273.29755679999994</v>
      </c>
      <c r="AC8" s="56">
        <f>'Anexa 1'!AD21</f>
        <v>273.29755679999994</v>
      </c>
      <c r="AD8" s="56">
        <f>'Anexa 1'!AE21</f>
        <v>273.29755679999994</v>
      </c>
      <c r="AE8" s="56">
        <f>'Anexa 1'!AF21</f>
        <v>273.29755679999994</v>
      </c>
      <c r="AF8" s="56">
        <f>'Anexa 1'!AG21</f>
        <v>273.29755679999994</v>
      </c>
      <c r="AG8" s="56">
        <f>'Anexa 1'!AH21</f>
        <v>273.29755679999994</v>
      </c>
      <c r="AH8" s="56">
        <f>'Anexa 1'!AI21</f>
        <v>273.29755679999994</v>
      </c>
      <c r="AI8" s="56">
        <f>'Anexa 1'!AJ21</f>
        <v>273.29755679999994</v>
      </c>
      <c r="AJ8" s="56">
        <f>'Anexa 1'!AK21</f>
        <v>273.29755679999994</v>
      </c>
      <c r="AK8" s="56">
        <f>'Anexa 1'!AL21</f>
        <v>273.29755679999994</v>
      </c>
      <c r="AL8" s="56">
        <f>'Anexa 1'!AM21</f>
        <v>273.29755679999994</v>
      </c>
    </row>
    <row r="9" spans="1:38" s="65" customFormat="1" x14ac:dyDescent="0.25">
      <c r="A9" s="60"/>
      <c r="B9" s="61"/>
      <c r="C9" s="62"/>
      <c r="D9" s="63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</row>
    <row r="10" spans="1:38" s="65" customFormat="1" x14ac:dyDescent="0.25">
      <c r="A10" s="60"/>
      <c r="B10" s="54" t="s">
        <v>27</v>
      </c>
      <c r="C10" s="55" t="s">
        <v>18</v>
      </c>
      <c r="D10" s="66">
        <f>D31</f>
        <v>108.9</v>
      </c>
      <c r="E10" s="66">
        <f t="shared" ref="E10:AA10" si="3">E31</f>
        <v>126.1</v>
      </c>
      <c r="F10" s="66">
        <f t="shared" si="3"/>
        <v>222.25</v>
      </c>
      <c r="G10" s="66">
        <f t="shared" si="3"/>
        <v>218.61199999999999</v>
      </c>
      <c r="H10" s="66">
        <f t="shared" si="3"/>
        <v>215.50385528081881</v>
      </c>
      <c r="I10" s="66">
        <f t="shared" si="3"/>
        <v>212.29333214423929</v>
      </c>
      <c r="J10" s="66">
        <f t="shared" si="3"/>
        <v>209.17400551977312</v>
      </c>
      <c r="K10" s="66">
        <f t="shared" si="3"/>
        <v>206.14313830023585</v>
      </c>
      <c r="L10" s="66">
        <f t="shared" si="3"/>
        <v>203.19807918649551</v>
      </c>
      <c r="M10" s="66">
        <f t="shared" si="3"/>
        <v>201.20809424621802</v>
      </c>
      <c r="N10" s="66">
        <f t="shared" si="3"/>
        <v>199.25469748236091</v>
      </c>
      <c r="O10" s="66">
        <f t="shared" si="3"/>
        <v>197.33721569163845</v>
      </c>
      <c r="P10" s="66">
        <f t="shared" si="3"/>
        <v>195.45498806600904</v>
      </c>
      <c r="Q10" s="66">
        <f t="shared" si="3"/>
        <v>193.60736596429606</v>
      </c>
      <c r="R10" s="66">
        <f t="shared" si="3"/>
        <v>192.22679195783383</v>
      </c>
      <c r="S10" s="66">
        <f t="shared" si="3"/>
        <v>190.8719829137672</v>
      </c>
      <c r="T10" s="66">
        <f t="shared" si="3"/>
        <v>189.54245799348544</v>
      </c>
      <c r="U10" s="66">
        <f t="shared" si="3"/>
        <v>188.23774533202851</v>
      </c>
      <c r="V10" s="66">
        <f t="shared" si="3"/>
        <v>186.95738187061596</v>
      </c>
      <c r="W10" s="66">
        <f t="shared" si="3"/>
        <v>185.70091319230204</v>
      </c>
      <c r="X10" s="66">
        <f t="shared" si="3"/>
        <v>184.46789336069713</v>
      </c>
      <c r="Y10" s="66">
        <f t="shared" si="3"/>
        <v>183.25788476169961</v>
      </c>
      <c r="Z10" s="66">
        <f t="shared" si="3"/>
        <v>182.07045794818083</v>
      </c>
      <c r="AA10" s="66">
        <f t="shared" si="3"/>
        <v>180.90519148756937</v>
      </c>
      <c r="AB10" s="66">
        <f t="shared" ref="AB10:AL10" si="4">AB31</f>
        <v>179.76167181227908</v>
      </c>
      <c r="AC10" s="66">
        <f t="shared" si="4"/>
        <v>179.16037041142164</v>
      </c>
      <c r="AD10" s="66">
        <f t="shared" si="4"/>
        <v>178.56508202457275</v>
      </c>
      <c r="AE10" s="66">
        <f t="shared" si="4"/>
        <v>177.97574652159241</v>
      </c>
      <c r="AF10" s="66">
        <f t="shared" si="4"/>
        <v>177.39230437364182</v>
      </c>
      <c r="AG10" s="66">
        <f t="shared" si="4"/>
        <v>176.81469664717071</v>
      </c>
      <c r="AH10" s="66">
        <f t="shared" si="4"/>
        <v>176.24286499796438</v>
      </c>
      <c r="AI10" s="66">
        <f t="shared" si="4"/>
        <v>175.67675166525007</v>
      </c>
      <c r="AJ10" s="66">
        <f t="shared" si="4"/>
        <v>175.11629946586294</v>
      </c>
      <c r="AK10" s="66">
        <f t="shared" si="4"/>
        <v>174.56145178846964</v>
      </c>
      <c r="AL10" s="66">
        <f t="shared" si="4"/>
        <v>174.0121525878503</v>
      </c>
    </row>
    <row r="11" spans="1:38" s="57" customFormat="1" x14ac:dyDescent="0.25">
      <c r="A11" s="53"/>
      <c r="B11" s="54" t="s">
        <v>83</v>
      </c>
      <c r="C11" s="55" t="s">
        <v>18</v>
      </c>
      <c r="D11" s="66">
        <v>10.16</v>
      </c>
      <c r="E11" s="66">
        <v>11.58</v>
      </c>
      <c r="F11" s="66">
        <v>20.51</v>
      </c>
      <c r="G11" s="66">
        <f>G12+G13</f>
        <v>29.767910000000001</v>
      </c>
      <c r="H11" s="66">
        <f t="shared" ref="H11" si="5">G11*(H10/G10)</f>
        <v>29.344680843926405</v>
      </c>
      <c r="I11" s="66">
        <f t="shared" ref="I11:I12" si="6">H11*(I10/H10)</f>
        <v>28.907511046373585</v>
      </c>
      <c r="J11" s="66">
        <f t="shared" ref="J11:J12" si="7">I11*(J10/I10)</f>
        <v>28.48275927511806</v>
      </c>
      <c r="K11" s="66">
        <f t="shared" ref="K11:K12" si="8">J11*(K10/J10)</f>
        <v>28.070052824359934</v>
      </c>
      <c r="L11" s="66">
        <f t="shared" ref="L11:L12" si="9">K11*(L10/K10)</f>
        <v>27.669030672591035</v>
      </c>
      <c r="M11" s="66">
        <f t="shared" ref="M11:M12" si="10">L11*(M10/L10)</f>
        <v>27.398058847606425</v>
      </c>
      <c r="N11" s="66">
        <f t="shared" ref="N11:N12" si="11">M11*(N10/M10)</f>
        <v>27.132069153258495</v>
      </c>
      <c r="O11" s="66">
        <f t="shared" ref="O11:O12" si="12">N11*(O10/N10)</f>
        <v>26.870969920952561</v>
      </c>
      <c r="P11" s="66">
        <f t="shared" ref="P11:P12" si="13">O11*(P10/O10)</f>
        <v>26.614671169926773</v>
      </c>
      <c r="Q11" s="66">
        <f t="shared" ref="Q11:Q12" si="14">P11*(Q10/P10)</f>
        <v>26.363084576154233</v>
      </c>
      <c r="R11" s="66">
        <f t="shared" ref="R11:R12" si="15">Q11*(R10/Q10)</f>
        <v>26.175094883124082</v>
      </c>
      <c r="S11" s="66">
        <f t="shared" ref="S11:S12" si="16">R11*(S10/R10)</f>
        <v>25.990613547740107</v>
      </c>
      <c r="T11" s="66">
        <f t="shared" ref="T11:T12" si="17">S11*(T10/S10)</f>
        <v>25.809575095277733</v>
      </c>
      <c r="U11" s="66">
        <f t="shared" ref="U11:U12" si="18">T11*(U10/T10)</f>
        <v>25.631915272934446</v>
      </c>
      <c r="V11" s="66">
        <f t="shared" ref="V11:V12" si="19">U11*(V10/U10)</f>
        <v>25.457571027025633</v>
      </c>
      <c r="W11" s="66">
        <f t="shared" ref="W11:W12" si="20">V11*(W10/V10)</f>
        <v>25.286480480606095</v>
      </c>
      <c r="X11" s="66">
        <f t="shared" ref="X11:X12" si="21">W11*(X10/W10)</f>
        <v>25.118582911509112</v>
      </c>
      <c r="Y11" s="66">
        <f t="shared" ref="Y11:Y12" si="22">X11*(Y10/X10)</f>
        <v>24.953818730795408</v>
      </c>
      <c r="Z11" s="66">
        <f t="shared" ref="Z11:Z12" si="23">Y11*(Z10/Y10)</f>
        <v>24.792129461604265</v>
      </c>
      <c r="AA11" s="66">
        <f t="shared" ref="AA11:AA12" si="24">Z11*(AA10/Z10)</f>
        <v>24.633457718399406</v>
      </c>
      <c r="AB11" s="66">
        <f t="shared" ref="AB11:AB12" si="25">AA11*(AB10/AA10)</f>
        <v>24.477747186602109</v>
      </c>
      <c r="AC11" s="66">
        <f t="shared" ref="AC11:AC12" si="26">AB11*(AC10/AB10)</f>
        <v>24.395869311720592</v>
      </c>
      <c r="AD11" s="66">
        <f t="shared" ref="AD11:AD12" si="27">AC11*(AD10/AC10)</f>
        <v>24.314810215587887</v>
      </c>
      <c r="AE11" s="66">
        <f t="shared" ref="AE11:AE12" si="28">AD11*(AE10/AD10)</f>
        <v>24.234561710416518</v>
      </c>
      <c r="AF11" s="66">
        <f t="shared" ref="AF11:AF12" si="29">AE11*(AF10/AE10)</f>
        <v>24.155115690296853</v>
      </c>
      <c r="AG11" s="66">
        <f t="shared" ref="AG11:AG12" si="30">AF11*(AG10/AF10)</f>
        <v>24.07646413037838</v>
      </c>
      <c r="AH11" s="66">
        <f t="shared" ref="AH11:AH12" si="31">AG11*(AH10/AG10)</f>
        <v>23.998599086059102</v>
      </c>
      <c r="AI11" s="66">
        <f t="shared" ref="AI11:AI12" si="32">AH11*(AI10/AH10)</f>
        <v>23.921512692183015</v>
      </c>
      <c r="AJ11" s="66">
        <f t="shared" ref="AJ11:AJ12" si="33">AI11*(AJ10/AI10)</f>
        <v>23.84519716224569</v>
      </c>
      <c r="AK11" s="66">
        <f t="shared" ref="AK11:AK12" si="34">AJ11*(AK10/AJ10)</f>
        <v>23.769644787607735</v>
      </c>
      <c r="AL11" s="66">
        <f t="shared" ref="AL11:AL12" si="35">AK11*(AL10/AK10)</f>
        <v>23.694847936716162</v>
      </c>
    </row>
    <row r="12" spans="1:38" s="57" customFormat="1" x14ac:dyDescent="0.25">
      <c r="A12" s="53"/>
      <c r="B12" s="54" t="s">
        <v>50</v>
      </c>
      <c r="C12" s="55" t="s">
        <v>33</v>
      </c>
      <c r="D12" s="66">
        <v>10.130000000000001</v>
      </c>
      <c r="E12" s="66">
        <v>10.87</v>
      </c>
      <c r="F12" s="66">
        <v>20.48</v>
      </c>
      <c r="G12" s="66">
        <f>21205.91/1000</f>
        <v>21.205909999999999</v>
      </c>
      <c r="H12" s="66">
        <f t="shared" ref="H12" si="36">G12*(H11/G11)</f>
        <v>20.90441219941297</v>
      </c>
      <c r="I12" s="66">
        <f t="shared" si="6"/>
        <v>20.592983436640466</v>
      </c>
      <c r="J12" s="66">
        <f t="shared" si="7"/>
        <v>20.290400963313139</v>
      </c>
      <c r="K12" s="66">
        <f t="shared" si="8"/>
        <v>19.996399273197969</v>
      </c>
      <c r="L12" s="66">
        <f t="shared" si="9"/>
        <v>19.710721183657334</v>
      </c>
      <c r="M12" s="66">
        <f t="shared" si="10"/>
        <v>19.517687674312558</v>
      </c>
      <c r="N12" s="66">
        <f t="shared" si="11"/>
        <v>19.3282033094623</v>
      </c>
      <c r="O12" s="66">
        <f t="shared" si="12"/>
        <v>19.142202786706463</v>
      </c>
      <c r="P12" s="66">
        <f t="shared" si="13"/>
        <v>18.959622006014595</v>
      </c>
      <c r="Q12" s="66">
        <f t="shared" si="14"/>
        <v>18.780398047572533</v>
      </c>
      <c r="R12" s="66">
        <f t="shared" si="15"/>
        <v>18.646478920857724</v>
      </c>
      <c r="S12" s="66">
        <f t="shared" si="16"/>
        <v>18.515059059845232</v>
      </c>
      <c r="T12" s="66">
        <f t="shared" si="17"/>
        <v>18.386091821988881</v>
      </c>
      <c r="U12" s="66">
        <f t="shared" si="18"/>
        <v>18.259531435209034</v>
      </c>
      <c r="V12" s="66">
        <f t="shared" si="19"/>
        <v>18.135332981647458</v>
      </c>
      <c r="W12" s="66">
        <f t="shared" si="20"/>
        <v>18.013452381725479</v>
      </c>
      <c r="X12" s="66">
        <f t="shared" si="21"/>
        <v>17.893846378499543</v>
      </c>
      <c r="Y12" s="66">
        <f t="shared" si="22"/>
        <v>17.776472522308815</v>
      </c>
      <c r="Z12" s="66">
        <f t="shared" si="23"/>
        <v>17.661289155709241</v>
      </c>
      <c r="AA12" s="66">
        <f t="shared" si="24"/>
        <v>17.548255398688834</v>
      </c>
      <c r="AB12" s="66">
        <f t="shared" si="25"/>
        <v>17.437331134158821</v>
      </c>
      <c r="AC12" s="66">
        <f t="shared" si="26"/>
        <v>17.379003396479934</v>
      </c>
      <c r="AD12" s="66">
        <f t="shared" si="27"/>
        <v>17.321258936177834</v>
      </c>
      <c r="AE12" s="66">
        <f t="shared" si="28"/>
        <v>17.264091920478762</v>
      </c>
      <c r="AF12" s="66">
        <f t="shared" si="29"/>
        <v>17.207496574936673</v>
      </c>
      <c r="AG12" s="66">
        <f t="shared" si="30"/>
        <v>17.151467182850002</v>
      </c>
      <c r="AH12" s="66">
        <f t="shared" si="31"/>
        <v>17.095998084684204</v>
      </c>
      <c r="AI12" s="66">
        <f t="shared" si="32"/>
        <v>17.041083677500062</v>
      </c>
      <c r="AJ12" s="66">
        <f t="shared" si="33"/>
        <v>16.986718414387763</v>
      </c>
      <c r="AK12" s="66">
        <f t="shared" si="34"/>
        <v>16.932896803906587</v>
      </c>
      <c r="AL12" s="66">
        <f t="shared" si="35"/>
        <v>16.879613409530222</v>
      </c>
    </row>
    <row r="13" spans="1:38" s="57" customFormat="1" x14ac:dyDescent="0.25">
      <c r="A13" s="53"/>
      <c r="B13" s="54" t="s">
        <v>51</v>
      </c>
      <c r="C13" s="55" t="s">
        <v>18</v>
      </c>
      <c r="D13" s="66">
        <v>3.3000000000000002E-2</v>
      </c>
      <c r="E13" s="66">
        <v>0.71</v>
      </c>
      <c r="F13" s="66">
        <f>F11-F12</f>
        <v>3.0000000000001137E-2</v>
      </c>
      <c r="G13" s="66">
        <v>8.5619999999999994</v>
      </c>
      <c r="H13" s="66">
        <f t="shared" ref="H13:AA13" si="37">H11-H12</f>
        <v>8.4402686445134343</v>
      </c>
      <c r="I13" s="66">
        <f t="shared" si="37"/>
        <v>8.3145276097331191</v>
      </c>
      <c r="J13" s="66">
        <f t="shared" si="37"/>
        <v>8.1923583118049201</v>
      </c>
      <c r="K13" s="66">
        <f t="shared" si="37"/>
        <v>8.0736535511619643</v>
      </c>
      <c r="L13" s="66">
        <f t="shared" si="37"/>
        <v>7.9583094889337005</v>
      </c>
      <c r="M13" s="66">
        <f t="shared" si="37"/>
        <v>7.8803711732938666</v>
      </c>
      <c r="N13" s="66">
        <f t="shared" si="37"/>
        <v>7.8038658437961956</v>
      </c>
      <c r="O13" s="66">
        <f t="shared" si="37"/>
        <v>7.7287671342460982</v>
      </c>
      <c r="P13" s="66">
        <f t="shared" si="37"/>
        <v>7.655049163912178</v>
      </c>
      <c r="Q13" s="66">
        <f t="shared" si="37"/>
        <v>7.5826865285817</v>
      </c>
      <c r="R13" s="66">
        <f t="shared" si="37"/>
        <v>7.5286159622663575</v>
      </c>
      <c r="S13" s="66">
        <f t="shared" si="37"/>
        <v>7.4755544878948754</v>
      </c>
      <c r="T13" s="66">
        <f t="shared" si="37"/>
        <v>7.423483273288852</v>
      </c>
      <c r="U13" s="66">
        <f t="shared" si="37"/>
        <v>7.3723838377254118</v>
      </c>
      <c r="V13" s="66">
        <f t="shared" si="37"/>
        <v>7.3222380453781746</v>
      </c>
      <c r="W13" s="66">
        <f t="shared" si="37"/>
        <v>7.2730280988806157</v>
      </c>
      <c r="X13" s="66">
        <f t="shared" si="37"/>
        <v>7.224736533009569</v>
      </c>
      <c r="Y13" s="66">
        <f t="shared" si="37"/>
        <v>7.1773462084865933</v>
      </c>
      <c r="Z13" s="66">
        <f t="shared" si="37"/>
        <v>7.130840305895024</v>
      </c>
      <c r="AA13" s="66">
        <f t="shared" si="37"/>
        <v>7.0852023197105716</v>
      </c>
      <c r="AB13" s="66">
        <f t="shared" ref="AB13:AL13" si="38">AB11-AB12</f>
        <v>7.0404160524432875</v>
      </c>
      <c r="AC13" s="66">
        <f t="shared" si="38"/>
        <v>7.0168659152406576</v>
      </c>
      <c r="AD13" s="66">
        <f t="shared" si="38"/>
        <v>6.9935512794100525</v>
      </c>
      <c r="AE13" s="66">
        <f t="shared" si="38"/>
        <v>6.9704697899377557</v>
      </c>
      <c r="AF13" s="66">
        <f t="shared" si="38"/>
        <v>6.9476191153601796</v>
      </c>
      <c r="AG13" s="66">
        <f t="shared" si="38"/>
        <v>6.9249969475283777</v>
      </c>
      <c r="AH13" s="66">
        <f t="shared" si="38"/>
        <v>6.9026010013748973</v>
      </c>
      <c r="AI13" s="66">
        <f t="shared" si="38"/>
        <v>6.880429014682953</v>
      </c>
      <c r="AJ13" s="66">
        <f t="shared" si="38"/>
        <v>6.8584787478579265</v>
      </c>
      <c r="AK13" s="66">
        <f t="shared" si="38"/>
        <v>6.836747983701148</v>
      </c>
      <c r="AL13" s="66">
        <f t="shared" si="38"/>
        <v>6.8152345271859396</v>
      </c>
    </row>
    <row r="14" spans="1:38" s="57" customFormat="1" x14ac:dyDescent="0.25">
      <c r="A14" s="53"/>
      <c r="B14" s="54" t="s">
        <v>77</v>
      </c>
      <c r="C14" s="55" t="s">
        <v>18</v>
      </c>
      <c r="D14" s="56">
        <v>98.81</v>
      </c>
      <c r="E14" s="56">
        <f>E10-E12</f>
        <v>115.22999999999999</v>
      </c>
      <c r="F14" s="56">
        <f>F10-F12</f>
        <v>201.77</v>
      </c>
      <c r="G14" s="56">
        <f t="shared" ref="G14:AA14" si="39">G10-G12</f>
        <v>197.40609000000001</v>
      </c>
      <c r="H14" s="56">
        <f t="shared" si="39"/>
        <v>194.59944308140584</v>
      </c>
      <c r="I14" s="56">
        <f t="shared" si="39"/>
        <v>191.70034870759883</v>
      </c>
      <c r="J14" s="56">
        <f t="shared" si="39"/>
        <v>188.88360455645997</v>
      </c>
      <c r="K14" s="56">
        <f t="shared" si="39"/>
        <v>186.14673902703788</v>
      </c>
      <c r="L14" s="56">
        <f t="shared" si="39"/>
        <v>183.48735800283816</v>
      </c>
      <c r="M14" s="56">
        <f t="shared" si="39"/>
        <v>181.69040657190547</v>
      </c>
      <c r="N14" s="56">
        <f t="shared" si="39"/>
        <v>179.9264941728986</v>
      </c>
      <c r="O14" s="56">
        <f t="shared" si="39"/>
        <v>178.19501290493199</v>
      </c>
      <c r="P14" s="56">
        <f t="shared" si="39"/>
        <v>176.49536605999444</v>
      </c>
      <c r="Q14" s="56">
        <f t="shared" si="39"/>
        <v>174.82696791672353</v>
      </c>
      <c r="R14" s="56">
        <f t="shared" si="39"/>
        <v>173.58031303697609</v>
      </c>
      <c r="S14" s="56">
        <f t="shared" si="39"/>
        <v>172.35692385392196</v>
      </c>
      <c r="T14" s="56">
        <f t="shared" si="39"/>
        <v>171.15636617149656</v>
      </c>
      <c r="U14" s="56">
        <f t="shared" si="39"/>
        <v>169.97821389681948</v>
      </c>
      <c r="V14" s="56">
        <f t="shared" si="39"/>
        <v>168.82204888896851</v>
      </c>
      <c r="W14" s="56">
        <f t="shared" si="39"/>
        <v>167.68746081057657</v>
      </c>
      <c r="X14" s="56">
        <f t="shared" si="39"/>
        <v>166.57404698219759</v>
      </c>
      <c r="Y14" s="56">
        <f t="shared" si="39"/>
        <v>165.48141223939081</v>
      </c>
      <c r="Z14" s="56">
        <f t="shared" si="39"/>
        <v>164.40916879247158</v>
      </c>
      <c r="AA14" s="56">
        <f t="shared" si="39"/>
        <v>163.35693608888053</v>
      </c>
      <c r="AB14" s="56">
        <f t="shared" ref="AB14:AL14" si="40">AB10-AB12</f>
        <v>162.32434067812025</v>
      </c>
      <c r="AC14" s="56">
        <f t="shared" si="40"/>
        <v>161.78136701494171</v>
      </c>
      <c r="AD14" s="56">
        <f t="shared" si="40"/>
        <v>161.24382308839492</v>
      </c>
      <c r="AE14" s="56">
        <f t="shared" si="40"/>
        <v>160.71165460111365</v>
      </c>
      <c r="AF14" s="56">
        <f t="shared" si="40"/>
        <v>160.18480779870515</v>
      </c>
      <c r="AG14" s="56">
        <f t="shared" si="40"/>
        <v>159.66322946432069</v>
      </c>
      <c r="AH14" s="56">
        <f t="shared" si="40"/>
        <v>159.14686691328018</v>
      </c>
      <c r="AI14" s="56">
        <f t="shared" si="40"/>
        <v>158.63566798775</v>
      </c>
      <c r="AJ14" s="56">
        <f t="shared" si="40"/>
        <v>158.12958105147518</v>
      </c>
      <c r="AK14" s="56">
        <f t="shared" si="40"/>
        <v>157.62855498456304</v>
      </c>
      <c r="AL14" s="56">
        <f t="shared" si="40"/>
        <v>157.13253917832009</v>
      </c>
    </row>
    <row r="15" spans="1:38" s="57" customFormat="1" ht="30" x14ac:dyDescent="0.25">
      <c r="A15" s="53"/>
      <c r="B15" s="54" t="s">
        <v>85</v>
      </c>
      <c r="C15" s="55" t="s">
        <v>18</v>
      </c>
      <c r="D15" s="56">
        <f>(8080588/1000000)+1.866</f>
        <v>9.9465880000000002</v>
      </c>
      <c r="E15" s="56">
        <f>(6980850/1000000)+1.796</f>
        <v>8.7768499999999996</v>
      </c>
      <c r="F15" s="56">
        <f>$C$71*'Anexa 1'!G23/1000000+1.796</f>
        <v>9.3817487528911858</v>
      </c>
      <c r="G15" s="56">
        <f>$C$71*'Anexa 1'!H23/1000000+1.796</f>
        <v>8.5921647093219686</v>
      </c>
      <c r="H15" s="56">
        <f>$C$71*'Anexa 1'!I23/1000000+1.796</f>
        <v>8.4898858193197029</v>
      </c>
      <c r="I15" s="56">
        <f>$C$71*'Anexa 1'!J23/1000000+1.796</f>
        <v>8.3905170108770815</v>
      </c>
      <c r="J15" s="56">
        <f>$C$71*'Anexa 1'!K23/1000000+1.796</f>
        <v>8.2939708230346874</v>
      </c>
      <c r="K15" s="56">
        <f>$C$71*'Anexa 1'!L23/1000000+1.796</f>
        <v>8.2001625396674793</v>
      </c>
      <c r="L15" s="56">
        <f>$C$71*'Anexa 1'!M23/1000000+1.796</f>
        <v>8.1090101004929558</v>
      </c>
      <c r="M15" s="56">
        <f>$C$71*'Anexa 1'!N23/1000000+1.796</f>
        <v>8.0474181343485185</v>
      </c>
      <c r="N15" s="56">
        <f>$C$71*'Anexa 1'!O23/1000000+1.796</f>
        <v>7.9869586077908119</v>
      </c>
      <c r="O15" s="56">
        <f>$C$71*'Anexa 1'!P23/1000000+1.796</f>
        <v>7.9276106845244758</v>
      </c>
      <c r="P15" s="56">
        <f>$C$71*'Anexa 1'!Q23/1000000+1.796</f>
        <v>7.8693539118989877</v>
      </c>
      <c r="Q15" s="56">
        <f>$C$71*'Anexa 1'!R23/1000000+1.796</f>
        <v>7.8121682138401098</v>
      </c>
      <c r="R15" s="56">
        <f>$C$71*'Anexa 1'!S23/1000000+1.796</f>
        <v>7.7694381078253096</v>
      </c>
      <c r="S15" s="56">
        <f>$C$71*'Anexa 1'!T23/1000000+1.796</f>
        <v>7.7275054524140101</v>
      </c>
      <c r="T15" s="56">
        <f>$C$71*'Anexa 1'!U23/1000000+1.796</f>
        <v>7.6863553651843244</v>
      </c>
      <c r="U15" s="56">
        <f>$C$71*'Anexa 1'!V23/1000000+1.796</f>
        <v>7.6459732414575647</v>
      </c>
      <c r="V15" s="56">
        <f>$C$71*'Anexa 1'!W23/1000000+1.796</f>
        <v>7.6063447491148537</v>
      </c>
      <c r="W15" s="56">
        <f>$C$71*'Anexa 1'!X23/1000000+1.796</f>
        <v>7.5674558235104881</v>
      </c>
      <c r="X15" s="56">
        <f>$C$71*'Anexa 1'!Y23/1000000+1.796</f>
        <v>7.5292926624802146</v>
      </c>
      <c r="Y15" s="56">
        <f>$C$71*'Anexa 1'!Z23/1000000+1.796</f>
        <v>7.4918417214426709</v>
      </c>
      <c r="Z15" s="56">
        <f>$C$71*'Anexa 1'!AA23/1000000+1.796</f>
        <v>7.4550897085922365</v>
      </c>
      <c r="AA15" s="56">
        <f>$C$71*'Anexa 1'!AB23/1000000+1.796</f>
        <v>7.4190235801816256</v>
      </c>
      <c r="AB15" s="56">
        <f>$C$71*'Anexa 1'!AC23/1000000+1.796</f>
        <v>7.3836305358924772</v>
      </c>
      <c r="AC15" s="56">
        <f>$C$71*'Anexa 1'!AD23/1000000+1.796</f>
        <v>7.3650196736821076</v>
      </c>
      <c r="AD15" s="56">
        <f>$C$71*'Anexa 1'!AE23/1000000+1.796</f>
        <v>7.3465949200938425</v>
      </c>
      <c r="AE15" s="56">
        <f>$C$71*'Anexa 1'!AF23/1000000+1.796</f>
        <v>7.3283544140414598</v>
      </c>
      <c r="AF15" s="56">
        <f>$C$71*'Anexa 1'!AG23/1000000+1.796</f>
        <v>7.3102963130495997</v>
      </c>
      <c r="AG15" s="56">
        <f>$C$71*'Anexa 1'!AH23/1000000+1.796</f>
        <v>7.2924187930676583</v>
      </c>
      <c r="AH15" s="56">
        <f>$C$71*'Anexa 1'!AI23/1000000+1.796</f>
        <v>7.2747200482855376</v>
      </c>
      <c r="AI15" s="56">
        <f>$C$71*'Anexa 1'!AJ23/1000000+1.796</f>
        <v>7.2571982909512371</v>
      </c>
      <c r="AJ15" s="56">
        <f>$C$71*'Anexa 1'!AK23/1000000+1.796</f>
        <v>7.2398517511902805</v>
      </c>
      <c r="AK15" s="56">
        <f>$C$71*'Anexa 1'!AL23/1000000+1.796</f>
        <v>7.2226786768269324</v>
      </c>
      <c r="AL15" s="56">
        <f>$C$71*'Anexa 1'!AM23/1000000+1.796</f>
        <v>7.2056773332072179</v>
      </c>
    </row>
    <row r="16" spans="1:38" s="15" customFormat="1" x14ac:dyDescent="0.25">
      <c r="A16" s="12"/>
      <c r="B16" s="16" t="s">
        <v>61</v>
      </c>
      <c r="C16" s="3" t="s">
        <v>19</v>
      </c>
      <c r="D16" s="14">
        <f>D34+D51</f>
        <v>4.7482999549741827</v>
      </c>
      <c r="E16" s="14">
        <f t="shared" ref="E16:AA16" si="41">E34+E51</f>
        <v>0</v>
      </c>
      <c r="F16" s="14">
        <f t="shared" si="41"/>
        <v>0</v>
      </c>
      <c r="G16" s="14">
        <v>0</v>
      </c>
      <c r="H16" s="14">
        <f>H34+H51</f>
        <v>614.44444444444446</v>
      </c>
      <c r="I16" s="14">
        <f t="shared" si="41"/>
        <v>614.44444444444446</v>
      </c>
      <c r="J16" s="14">
        <f t="shared" si="41"/>
        <v>614.44444444444446</v>
      </c>
      <c r="K16" s="14">
        <f t="shared" si="41"/>
        <v>614.44444444444446</v>
      </c>
      <c r="L16" s="14">
        <f t="shared" si="41"/>
        <v>614.44444444444446</v>
      </c>
      <c r="M16" s="14">
        <f t="shared" si="41"/>
        <v>614.44444444444446</v>
      </c>
      <c r="N16" s="14">
        <f t="shared" si="41"/>
        <v>614.44444444444446</v>
      </c>
      <c r="O16" s="14">
        <f t="shared" si="41"/>
        <v>614.44444444444446</v>
      </c>
      <c r="P16" s="14">
        <f t="shared" si="41"/>
        <v>614.44444444444446</v>
      </c>
      <c r="Q16" s="14">
        <f t="shared" si="41"/>
        <v>614.44444444444446</v>
      </c>
      <c r="R16" s="14">
        <f t="shared" si="41"/>
        <v>614.44444444444446</v>
      </c>
      <c r="S16" s="14">
        <f t="shared" si="41"/>
        <v>614.44444444444446</v>
      </c>
      <c r="T16" s="14">
        <f t="shared" si="41"/>
        <v>614.44444444444446</v>
      </c>
      <c r="U16" s="14">
        <f t="shared" si="41"/>
        <v>614.44444444444446</v>
      </c>
      <c r="V16" s="14">
        <f t="shared" si="41"/>
        <v>614.44444444444446</v>
      </c>
      <c r="W16" s="14">
        <f t="shared" si="41"/>
        <v>614.44444444444446</v>
      </c>
      <c r="X16" s="14">
        <f t="shared" si="41"/>
        <v>614.44444444444446</v>
      </c>
      <c r="Y16" s="14">
        <f t="shared" si="41"/>
        <v>614.44444444444446</v>
      </c>
      <c r="Z16" s="14">
        <f t="shared" si="41"/>
        <v>614.44444444444446</v>
      </c>
      <c r="AA16" s="14">
        <f t="shared" si="41"/>
        <v>614.44444444444446</v>
      </c>
      <c r="AB16" s="14">
        <f t="shared" ref="AB16:AL16" si="42">AB34+AB51</f>
        <v>615.44444444444446</v>
      </c>
      <c r="AC16" s="14">
        <f t="shared" si="42"/>
        <v>616.44444444444446</v>
      </c>
      <c r="AD16" s="14">
        <f t="shared" si="42"/>
        <v>617.44444444444446</v>
      </c>
      <c r="AE16" s="14">
        <f t="shared" si="42"/>
        <v>618.44444444444446</v>
      </c>
      <c r="AF16" s="14">
        <f t="shared" si="42"/>
        <v>619.44444444444446</v>
      </c>
      <c r="AG16" s="14">
        <f t="shared" si="42"/>
        <v>620.44444444444446</v>
      </c>
      <c r="AH16" s="14">
        <f t="shared" si="42"/>
        <v>621.44444444444446</v>
      </c>
      <c r="AI16" s="14">
        <f t="shared" si="42"/>
        <v>622.44444444444446</v>
      </c>
      <c r="AJ16" s="14">
        <f t="shared" si="42"/>
        <v>623.44444444444446</v>
      </c>
      <c r="AK16" s="14">
        <f t="shared" si="42"/>
        <v>624.44444444444446</v>
      </c>
      <c r="AL16" s="14">
        <f t="shared" si="42"/>
        <v>625.44444444444446</v>
      </c>
    </row>
    <row r="17" spans="1:38" s="15" customFormat="1" x14ac:dyDescent="0.25">
      <c r="A17" s="12"/>
      <c r="B17" s="13"/>
      <c r="C17" s="3" t="s">
        <v>20</v>
      </c>
      <c r="D17" s="14">
        <f>(D16*1000/4.1868)/8.24</f>
        <v>137.63494662646931</v>
      </c>
      <c r="E17" s="14">
        <f t="shared" ref="E17:P17" si="43">(E16*1000/4.1868)/8.24</f>
        <v>0</v>
      </c>
      <c r="F17" s="14">
        <f t="shared" si="43"/>
        <v>0</v>
      </c>
      <c r="G17" s="14">
        <f t="shared" si="43"/>
        <v>0</v>
      </c>
      <c r="H17" s="14">
        <f t="shared" si="43"/>
        <v>17810.380371494775</v>
      </c>
      <c r="I17" s="14">
        <f t="shared" si="43"/>
        <v>17810.380371494775</v>
      </c>
      <c r="J17" s="14">
        <f t="shared" si="43"/>
        <v>17810.380371494775</v>
      </c>
      <c r="K17" s="14">
        <f t="shared" si="43"/>
        <v>17810.380371494775</v>
      </c>
      <c r="L17" s="14">
        <f t="shared" si="43"/>
        <v>17810.380371494775</v>
      </c>
      <c r="M17" s="14">
        <f t="shared" si="43"/>
        <v>17810.380371494775</v>
      </c>
      <c r="N17" s="14">
        <f t="shared" si="43"/>
        <v>17810.380371494775</v>
      </c>
      <c r="O17" s="14">
        <f t="shared" si="43"/>
        <v>17810.380371494775</v>
      </c>
      <c r="P17" s="14">
        <f t="shared" si="43"/>
        <v>17810.380371494775</v>
      </c>
      <c r="Q17" s="14">
        <f>(Q16*1000/4.1868)/8.24</f>
        <v>17810.380371494775</v>
      </c>
      <c r="R17" s="14">
        <f t="shared" ref="R17" si="44">(R16*1000/4.1868)/8.24</f>
        <v>17810.380371494775</v>
      </c>
      <c r="S17" s="14">
        <f t="shared" ref="S17" si="45">(S16*1000/4.1868)/8.24</f>
        <v>17810.380371494775</v>
      </c>
      <c r="T17" s="14">
        <f t="shared" ref="T17" si="46">(T16*1000/4.1868)/8.24</f>
        <v>17810.380371494775</v>
      </c>
      <c r="U17" s="14">
        <f t="shared" ref="U17" si="47">(U16*1000/4.1868)/8.24</f>
        <v>17810.380371494775</v>
      </c>
      <c r="V17" s="14">
        <f t="shared" ref="V17" si="48">(V16*1000/4.1868)/8.24</f>
        <v>17810.380371494775</v>
      </c>
      <c r="W17" s="14">
        <f t="shared" ref="W17" si="49">(W16*1000/4.1868)/8.24</f>
        <v>17810.380371494775</v>
      </c>
      <c r="X17" s="14">
        <f t="shared" ref="X17" si="50">(X16*1000/4.1868)/8.24</f>
        <v>17810.380371494775</v>
      </c>
      <c r="Y17" s="14">
        <f t="shared" ref="Y17" si="51">(Y16*1000/4.1868)/8.24</f>
        <v>17810.380371494775</v>
      </c>
      <c r="Z17" s="14">
        <f t="shared" ref="Z17" si="52">(Z16*1000/4.1868)/8.24</f>
        <v>17810.380371494775</v>
      </c>
      <c r="AA17" s="14">
        <f t="shared" ref="AA17:AL17" si="53">(AA16*1000/4.1868)/8.24</f>
        <v>17810.380371494775</v>
      </c>
      <c r="AB17" s="14">
        <f t="shared" si="53"/>
        <v>17839.366523998113</v>
      </c>
      <c r="AC17" s="14">
        <f t="shared" si="53"/>
        <v>17868.35267650145</v>
      </c>
      <c r="AD17" s="14">
        <f t="shared" si="53"/>
        <v>17897.338829004788</v>
      </c>
      <c r="AE17" s="14">
        <f t="shared" si="53"/>
        <v>17926.324981508125</v>
      </c>
      <c r="AF17" s="14">
        <f t="shared" si="53"/>
        <v>17955.311134011463</v>
      </c>
      <c r="AG17" s="14">
        <f t="shared" si="53"/>
        <v>17984.297286514797</v>
      </c>
      <c r="AH17" s="14">
        <f t="shared" si="53"/>
        <v>18013.283439018134</v>
      </c>
      <c r="AI17" s="14">
        <f t="shared" si="53"/>
        <v>18042.269591521472</v>
      </c>
      <c r="AJ17" s="14">
        <f t="shared" si="53"/>
        <v>18071.255744024809</v>
      </c>
      <c r="AK17" s="14">
        <f t="shared" si="53"/>
        <v>18100.241896528147</v>
      </c>
      <c r="AL17" s="14">
        <f t="shared" si="53"/>
        <v>18129.228049031484</v>
      </c>
    </row>
    <row r="18" spans="1:38" s="15" customFormat="1" x14ac:dyDescent="0.25">
      <c r="A18" s="12"/>
      <c r="B18" s="13"/>
      <c r="C18" s="3" t="s">
        <v>41</v>
      </c>
      <c r="D18" s="14">
        <f>D17*8.24/0.9/1.162</f>
        <v>1084.4444063894696</v>
      </c>
      <c r="E18" s="14">
        <f t="shared" ref="E18:AA18" si="54">E17*8.24/0.9/1.162</f>
        <v>0</v>
      </c>
      <c r="F18" s="14">
        <f t="shared" ref="F18" si="55">F17*8.24/0.9/1.162</f>
        <v>0</v>
      </c>
      <c r="G18" s="14">
        <f t="shared" si="54"/>
        <v>0</v>
      </c>
      <c r="H18" s="14">
        <f t="shared" si="54"/>
        <v>140330.40185610726</v>
      </c>
      <c r="I18" s="14">
        <f t="shared" si="54"/>
        <v>140330.40185610726</v>
      </c>
      <c r="J18" s="14">
        <f t="shared" si="54"/>
        <v>140330.40185610726</v>
      </c>
      <c r="K18" s="14">
        <f t="shared" si="54"/>
        <v>140330.40185610726</v>
      </c>
      <c r="L18" s="14">
        <f t="shared" si="54"/>
        <v>140330.40185610726</v>
      </c>
      <c r="M18" s="14">
        <f t="shared" si="54"/>
        <v>140330.40185610726</v>
      </c>
      <c r="N18" s="14">
        <f t="shared" si="54"/>
        <v>140330.40185610726</v>
      </c>
      <c r="O18" s="14">
        <f t="shared" si="54"/>
        <v>140330.40185610726</v>
      </c>
      <c r="P18" s="14">
        <f t="shared" si="54"/>
        <v>140330.40185610726</v>
      </c>
      <c r="Q18" s="14">
        <f t="shared" si="54"/>
        <v>140330.40185610726</v>
      </c>
      <c r="R18" s="14">
        <f t="shared" si="54"/>
        <v>140330.40185610726</v>
      </c>
      <c r="S18" s="14">
        <f t="shared" si="54"/>
        <v>140330.40185610726</v>
      </c>
      <c r="T18" s="14">
        <f t="shared" si="54"/>
        <v>140330.40185610726</v>
      </c>
      <c r="U18" s="14">
        <f t="shared" si="54"/>
        <v>140330.40185610726</v>
      </c>
      <c r="V18" s="14">
        <f t="shared" si="54"/>
        <v>140330.40185610726</v>
      </c>
      <c r="W18" s="14">
        <f t="shared" si="54"/>
        <v>140330.40185610726</v>
      </c>
      <c r="X18" s="14">
        <f t="shared" ref="X18:Z18" si="56">X17*8.24/0.9/1.162</f>
        <v>140330.40185610726</v>
      </c>
      <c r="Y18" s="14">
        <f t="shared" si="56"/>
        <v>140330.40185610726</v>
      </c>
      <c r="Z18" s="14">
        <f t="shared" si="56"/>
        <v>140330.40185610726</v>
      </c>
      <c r="AA18" s="14">
        <f t="shared" si="54"/>
        <v>140330.40185610726</v>
      </c>
      <c r="AB18" s="14">
        <f t="shared" ref="AB18:AL18" si="57">AB17*8.24/0.9/1.162</f>
        <v>140558.78768191286</v>
      </c>
      <c r="AC18" s="14">
        <f t="shared" si="57"/>
        <v>140787.17350771843</v>
      </c>
      <c r="AD18" s="14">
        <f t="shared" si="57"/>
        <v>141015.55933352406</v>
      </c>
      <c r="AE18" s="14">
        <f t="shared" si="57"/>
        <v>141243.94515932968</v>
      </c>
      <c r="AF18" s="14">
        <f t="shared" si="57"/>
        <v>141472.33098513525</v>
      </c>
      <c r="AG18" s="14">
        <f t="shared" si="57"/>
        <v>141700.71681094085</v>
      </c>
      <c r="AH18" s="14">
        <f t="shared" si="57"/>
        <v>141929.10263674645</v>
      </c>
      <c r="AI18" s="14">
        <f t="shared" si="57"/>
        <v>142157.48846255205</v>
      </c>
      <c r="AJ18" s="14">
        <f t="shared" si="57"/>
        <v>142385.87428835765</v>
      </c>
      <c r="AK18" s="14">
        <f t="shared" si="57"/>
        <v>142614.26011416328</v>
      </c>
      <c r="AL18" s="14">
        <f t="shared" si="57"/>
        <v>142842.64593996888</v>
      </c>
    </row>
    <row r="19" spans="1:38" hidden="1" x14ac:dyDescent="0.25">
      <c r="A19" s="17"/>
      <c r="B19" s="18" t="s">
        <v>42</v>
      </c>
      <c r="C19" s="19" t="s">
        <v>19</v>
      </c>
      <c r="D19" s="20">
        <f>D36</f>
        <v>1121.0782394885666</v>
      </c>
      <c r="E19" s="20">
        <f>E36</f>
        <v>1298.1447750184411</v>
      </c>
      <c r="F19" s="20">
        <f>F36</f>
        <v>2287.9672977624787</v>
      </c>
      <c r="G19" s="20">
        <f t="shared" ref="G19:AA19" si="58">G36</f>
        <v>2250.5156665847067</v>
      </c>
      <c r="H19" s="20">
        <f t="shared" si="58"/>
        <v>2218.5186655759344</v>
      </c>
      <c r="I19" s="20">
        <f t="shared" si="58"/>
        <v>2185.4677231903152</v>
      </c>
      <c r="J19" s="20">
        <f t="shared" si="58"/>
        <v>2153.3556093193656</v>
      </c>
      <c r="K19" s="20">
        <f t="shared" si="58"/>
        <v>2122.1541466324747</v>
      </c>
      <c r="L19" s="20">
        <f t="shared" si="58"/>
        <v>2091.836041155691</v>
      </c>
      <c r="M19" s="20">
        <f t="shared" si="58"/>
        <v>2071.3500098108329</v>
      </c>
      <c r="N19" s="20">
        <f t="shared" si="58"/>
        <v>2051.2406378636556</v>
      </c>
      <c r="O19" s="20">
        <f t="shared" si="58"/>
        <v>2031.5009949784899</v>
      </c>
      <c r="P19" s="20">
        <f t="shared" si="58"/>
        <v>2012.1242784233261</v>
      </c>
      <c r="Q19" s="20">
        <f t="shared" si="58"/>
        <v>1993.1038107187483</v>
      </c>
      <c r="R19" s="20">
        <f t="shared" si="58"/>
        <v>1978.8914004648605</v>
      </c>
      <c r="S19" s="20">
        <f t="shared" si="58"/>
        <v>1964.9442293173361</v>
      </c>
      <c r="T19" s="20">
        <f t="shared" si="58"/>
        <v>1951.257347251352</v>
      </c>
      <c r="U19" s="20">
        <f t="shared" si="58"/>
        <v>1937.8258966219253</v>
      </c>
      <c r="V19" s="20">
        <f t="shared" si="58"/>
        <v>1924.6451104398698</v>
      </c>
      <c r="W19" s="20">
        <f t="shared" si="58"/>
        <v>1911.7103106799366</v>
      </c>
      <c r="X19" s="20">
        <f t="shared" ref="X19:Z19" si="59">X36</f>
        <v>1899.0169066205233</v>
      </c>
      <c r="Y19" s="20">
        <f t="shared" si="59"/>
        <v>1886.5603932143695</v>
      </c>
      <c r="Z19" s="20">
        <f t="shared" si="59"/>
        <v>1874.3363494896569</v>
      </c>
      <c r="AA19" s="20">
        <f t="shared" si="58"/>
        <v>1862.340436980958</v>
      </c>
      <c r="AB19" s="20">
        <f t="shared" ref="AB19:AL19" si="60">AB36</f>
        <v>1850.5683981894522</v>
      </c>
      <c r="AC19" s="20">
        <f t="shared" si="60"/>
        <v>1844.3782612209002</v>
      </c>
      <c r="AD19" s="20">
        <f t="shared" si="60"/>
        <v>1838.2500256220339</v>
      </c>
      <c r="AE19" s="20">
        <f t="shared" si="60"/>
        <v>1832.183072379157</v>
      </c>
      <c r="AF19" s="20">
        <f t="shared" si="60"/>
        <v>1826.1767886687087</v>
      </c>
      <c r="AG19" s="20">
        <f t="shared" si="60"/>
        <v>1820.2305677953636</v>
      </c>
      <c r="AH19" s="20">
        <f t="shared" si="60"/>
        <v>1814.3438091307532</v>
      </c>
      <c r="AI19" s="20">
        <f t="shared" si="60"/>
        <v>1808.5159180527883</v>
      </c>
      <c r="AJ19" s="20">
        <f t="shared" si="60"/>
        <v>1802.7463058856035</v>
      </c>
      <c r="AK19" s="20">
        <f t="shared" si="60"/>
        <v>1797.0343898400899</v>
      </c>
      <c r="AL19" s="20">
        <f t="shared" si="60"/>
        <v>1791.3795929550322</v>
      </c>
    </row>
    <row r="20" spans="1:38" hidden="1" x14ac:dyDescent="0.25">
      <c r="A20" s="17"/>
      <c r="B20" s="18"/>
      <c r="C20" s="19" t="s">
        <v>20</v>
      </c>
      <c r="D20" s="21">
        <f>D19*1000/4.1868/8.392</f>
        <v>31907.166027195104</v>
      </c>
      <c r="E20" s="21">
        <f t="shared" ref="E20:S20" si="61">E19*1000/4.1868/8.392</f>
        <v>36946.681689892583</v>
      </c>
      <c r="F20" s="21">
        <f t="shared" si="61"/>
        <v>65118.16023456485</v>
      </c>
      <c r="G20" s="21">
        <f t="shared" si="61"/>
        <v>64052.244072885012</v>
      </c>
      <c r="H20" s="21">
        <f t="shared" si="61"/>
        <v>63141.572910428971</v>
      </c>
      <c r="I20" s="21">
        <f t="shared" si="61"/>
        <v>62200.905373670517</v>
      </c>
      <c r="J20" s="21">
        <f t="shared" si="61"/>
        <v>61286.957967794537</v>
      </c>
      <c r="K20" s="21">
        <f t="shared" si="61"/>
        <v>60398.928733816974</v>
      </c>
      <c r="L20" s="21">
        <f t="shared" si="61"/>
        <v>59536.040854092294</v>
      </c>
      <c r="M20" s="21">
        <f t="shared" si="61"/>
        <v>58952.985024146925</v>
      </c>
      <c r="N20" s="21">
        <f t="shared" si="61"/>
        <v>58380.649350488748</v>
      </c>
      <c r="O20" s="21">
        <f t="shared" si="61"/>
        <v>57818.836587856</v>
      </c>
      <c r="P20" s="21">
        <f t="shared" si="61"/>
        <v>57267.353122732682</v>
      </c>
      <c r="Q20" s="21">
        <f t="shared" si="61"/>
        <v>56726.008906434516</v>
      </c>
      <c r="R20" s="21">
        <f t="shared" si="61"/>
        <v>56321.507491953147</v>
      </c>
      <c r="S20" s="21">
        <f t="shared" si="61"/>
        <v>55924.555085119537</v>
      </c>
      <c r="T20" s="21">
        <f t="shared" ref="T20:AA20" si="62">T19*1000/4.1868/8.5</f>
        <v>54829.389488851572</v>
      </c>
      <c r="U20" s="21">
        <f t="shared" si="62"/>
        <v>54451.972210193533</v>
      </c>
      <c r="V20" s="21">
        <f t="shared" si="62"/>
        <v>54081.598481498433</v>
      </c>
      <c r="W20" s="21">
        <f t="shared" si="62"/>
        <v>53718.136852515097</v>
      </c>
      <c r="X20" s="21">
        <f t="shared" ref="X20:Z20" si="63">X19*1000/4.1868/8.5</f>
        <v>53361.458326182656</v>
      </c>
      <c r="Y20" s="21">
        <f t="shared" si="63"/>
        <v>53011.436312847931</v>
      </c>
      <c r="Z20" s="21">
        <f t="shared" si="63"/>
        <v>52667.946585337027</v>
      </c>
      <c r="AA20" s="21">
        <f t="shared" si="62"/>
        <v>52330.867234865822</v>
      </c>
      <c r="AB20" s="21">
        <f t="shared" ref="AB20:AL20" si="64">AB19*1000/4.1868/8.5</f>
        <v>52000.078627772789</v>
      </c>
      <c r="AC20" s="21">
        <f t="shared" si="64"/>
        <v>51826.138767243276</v>
      </c>
      <c r="AD20" s="21">
        <f t="shared" si="64"/>
        <v>51653.938305319076</v>
      </c>
      <c r="AE20" s="21">
        <f t="shared" si="64"/>
        <v>51483.459848014121</v>
      </c>
      <c r="AF20" s="21">
        <f t="shared" si="64"/>
        <v>51314.686175282222</v>
      </c>
      <c r="AG20" s="21">
        <f t="shared" si="64"/>
        <v>51147.600239277614</v>
      </c>
      <c r="AH20" s="21">
        <f t="shared" si="64"/>
        <v>50982.185162633068</v>
      </c>
      <c r="AI20" s="21">
        <f t="shared" si="64"/>
        <v>50818.424236754967</v>
      </c>
      <c r="AJ20" s="21">
        <f t="shared" si="64"/>
        <v>50656.300920135647</v>
      </c>
      <c r="AK20" s="21">
        <f t="shared" si="64"/>
        <v>50495.798836682516</v>
      </c>
      <c r="AL20" s="21">
        <f t="shared" si="64"/>
        <v>50336.901774063925</v>
      </c>
    </row>
    <row r="21" spans="1:38" hidden="1" x14ac:dyDescent="0.25">
      <c r="A21" s="17"/>
      <c r="B21" s="18" t="s">
        <v>26</v>
      </c>
      <c r="C21" s="19" t="s">
        <v>15</v>
      </c>
      <c r="D21" s="20">
        <f>D38+D50</f>
        <v>-1116.3299395335923</v>
      </c>
      <c r="E21" s="20">
        <f t="shared" ref="E21:AA21" si="65">E38+E50</f>
        <v>-1295.8102677034669</v>
      </c>
      <c r="F21" s="20">
        <f t="shared" si="65"/>
        <v>-2285.6327904475047</v>
      </c>
      <c r="G21" s="20">
        <f t="shared" si="65"/>
        <v>-2250.5156665847067</v>
      </c>
      <c r="H21" s="20">
        <f t="shared" si="65"/>
        <v>-1604.07422113149</v>
      </c>
      <c r="I21" s="20">
        <f t="shared" si="65"/>
        <v>-1571.0232787458708</v>
      </c>
      <c r="J21" s="20">
        <f t="shared" si="65"/>
        <v>-1538.9111648749213</v>
      </c>
      <c r="K21" s="20">
        <f t="shared" si="65"/>
        <v>-1507.7097021880304</v>
      </c>
      <c r="L21" s="20">
        <f t="shared" si="65"/>
        <v>-1477.3915967112466</v>
      </c>
      <c r="M21" s="20">
        <f t="shared" si="65"/>
        <v>-1456.9055653663886</v>
      </c>
      <c r="N21" s="20">
        <f t="shared" si="65"/>
        <v>-1436.7961934192112</v>
      </c>
      <c r="O21" s="20">
        <f t="shared" si="65"/>
        <v>-1417.0565505340455</v>
      </c>
      <c r="P21" s="20">
        <f t="shared" si="65"/>
        <v>-1397.6798339788818</v>
      </c>
      <c r="Q21" s="20">
        <f t="shared" si="65"/>
        <v>-1378.6593662743039</v>
      </c>
      <c r="R21" s="20">
        <f t="shared" si="65"/>
        <v>-1364.4469560204161</v>
      </c>
      <c r="S21" s="20">
        <f t="shared" si="65"/>
        <v>-1350.4997848728917</v>
      </c>
      <c r="T21" s="20">
        <f t="shared" si="65"/>
        <v>-1336.8129028069077</v>
      </c>
      <c r="U21" s="20">
        <f t="shared" si="65"/>
        <v>-1323.3814521774809</v>
      </c>
      <c r="V21" s="20">
        <f t="shared" si="65"/>
        <v>-1310.2006659954254</v>
      </c>
      <c r="W21" s="20">
        <f t="shared" si="65"/>
        <v>-1297.2658662354922</v>
      </c>
      <c r="X21" s="20">
        <f t="shared" ref="X21:Z21" si="66">X38+X50</f>
        <v>-1284.5724621760789</v>
      </c>
      <c r="Y21" s="20">
        <f t="shared" si="66"/>
        <v>-1272.1159487699251</v>
      </c>
      <c r="Z21" s="20">
        <f t="shared" si="66"/>
        <v>-1259.8919050452125</v>
      </c>
      <c r="AA21" s="20">
        <f t="shared" si="65"/>
        <v>-1247.8959925365136</v>
      </c>
      <c r="AB21" s="20">
        <f t="shared" ref="AB21:AL21" si="67">AB38+AB50</f>
        <v>-1235.1239537450078</v>
      </c>
      <c r="AC21" s="20">
        <f t="shared" si="67"/>
        <v>-1227.9338167764558</v>
      </c>
      <c r="AD21" s="20">
        <f t="shared" si="67"/>
        <v>-1220.8055811775896</v>
      </c>
      <c r="AE21" s="20">
        <f t="shared" si="67"/>
        <v>-1213.7386279347127</v>
      </c>
      <c r="AF21" s="20">
        <f t="shared" si="67"/>
        <v>-1206.7323442242644</v>
      </c>
      <c r="AG21" s="20">
        <f t="shared" si="67"/>
        <v>-1199.7861233509193</v>
      </c>
      <c r="AH21" s="20">
        <f t="shared" si="67"/>
        <v>-1192.8993646863089</v>
      </c>
      <c r="AI21" s="20">
        <f t="shared" si="67"/>
        <v>-1186.0714736083439</v>
      </c>
      <c r="AJ21" s="20">
        <f t="shared" si="67"/>
        <v>-1179.3018614411592</v>
      </c>
      <c r="AK21" s="20">
        <f t="shared" si="67"/>
        <v>-1172.5899453956456</v>
      </c>
      <c r="AL21" s="20">
        <f t="shared" si="67"/>
        <v>-1165.9351485105879</v>
      </c>
    </row>
    <row r="22" spans="1:38" hidden="1" x14ac:dyDescent="0.25">
      <c r="A22" s="17"/>
      <c r="B22" s="18"/>
      <c r="C22" s="19" t="s">
        <v>20</v>
      </c>
      <c r="D22" s="20">
        <f>D21*1000/4.1868/8.5</f>
        <v>-31368.332392943441</v>
      </c>
      <c r="E22" s="20">
        <f t="shared" ref="E22:AA22" si="68">E21*1000/4.1868/8.5</f>
        <v>-36411.642970441193</v>
      </c>
      <c r="F22" s="20">
        <f t="shared" si="68"/>
        <v>-64225.178023016451</v>
      </c>
      <c r="G22" s="20">
        <f t="shared" si="68"/>
        <v>-63238.403795253063</v>
      </c>
      <c r="H22" s="20">
        <f t="shared" si="68"/>
        <v>-45073.71124743564</v>
      </c>
      <c r="I22" s="20">
        <f t="shared" si="68"/>
        <v>-44144.99572173247</v>
      </c>
      <c r="J22" s="20">
        <f t="shared" si="68"/>
        <v>-43242.660824072336</v>
      </c>
      <c r="K22" s="20">
        <f t="shared" si="68"/>
        <v>-42365.914785067645</v>
      </c>
      <c r="L22" s="20">
        <f t="shared" si="68"/>
        <v>-41513.990657226539</v>
      </c>
      <c r="M22" s="20">
        <f t="shared" si="68"/>
        <v>-40938.343066061643</v>
      </c>
      <c r="N22" s="20">
        <f t="shared" si="68"/>
        <v>-40373.279422139363</v>
      </c>
      <c r="O22" s="20">
        <f t="shared" si="68"/>
        <v>-39818.604986373015</v>
      </c>
      <c r="P22" s="20">
        <f t="shared" si="68"/>
        <v>-39274.128605277139</v>
      </c>
      <c r="Q22" s="20">
        <f t="shared" si="68"/>
        <v>-38739.662644903699</v>
      </c>
      <c r="R22" s="20">
        <f t="shared" si="68"/>
        <v>-38340.300777806333</v>
      </c>
      <c r="S22" s="20">
        <f t="shared" si="68"/>
        <v>-37948.392001553671</v>
      </c>
      <c r="T22" s="20">
        <f t="shared" si="68"/>
        <v>-37563.79722283782</v>
      </c>
      <c r="U22" s="20">
        <f t="shared" si="68"/>
        <v>-37186.379944179775</v>
      </c>
      <c r="V22" s="20">
        <f t="shared" si="68"/>
        <v>-36816.006215484667</v>
      </c>
      <c r="W22" s="20">
        <f t="shared" si="68"/>
        <v>-36452.544586501339</v>
      </c>
      <c r="X22" s="20">
        <f t="shared" ref="X22:Z22" si="69">X21*1000/4.1868/8.5</f>
        <v>-36095.866060168904</v>
      </c>
      <c r="Y22" s="20">
        <f t="shared" si="69"/>
        <v>-35745.844046834172</v>
      </c>
      <c r="Z22" s="20">
        <f t="shared" si="69"/>
        <v>-35402.354319323262</v>
      </c>
      <c r="AA22" s="20">
        <f t="shared" si="68"/>
        <v>-35065.274968852071</v>
      </c>
      <c r="AB22" s="20">
        <f t="shared" ref="AB22:AL22" si="70">AB21*1000/4.1868/8.5</f>
        <v>-34706.386844508736</v>
      </c>
      <c r="AC22" s="20">
        <f t="shared" si="70"/>
        <v>-34504.347466728934</v>
      </c>
      <c r="AD22" s="20">
        <f t="shared" si="70"/>
        <v>-34304.047487554431</v>
      </c>
      <c r="AE22" s="20">
        <f t="shared" si="70"/>
        <v>-34105.469512999196</v>
      </c>
      <c r="AF22" s="20">
        <f t="shared" si="70"/>
        <v>-33908.596323017002</v>
      </c>
      <c r="AG22" s="20">
        <f t="shared" si="70"/>
        <v>-33713.41086976209</v>
      </c>
      <c r="AH22" s="20">
        <f t="shared" si="70"/>
        <v>-33519.896275867264</v>
      </c>
      <c r="AI22" s="20">
        <f t="shared" si="70"/>
        <v>-33328.03583273886</v>
      </c>
      <c r="AJ22" s="20">
        <f t="shared" si="70"/>
        <v>-33137.812998869253</v>
      </c>
      <c r="AK22" s="20">
        <f t="shared" si="70"/>
        <v>-32949.211398165826</v>
      </c>
      <c r="AL22" s="20">
        <f t="shared" si="70"/>
        <v>-32762.214818296939</v>
      </c>
    </row>
    <row r="23" spans="1:38" s="15" customFormat="1" x14ac:dyDescent="0.25">
      <c r="A23" s="12"/>
      <c r="B23" s="16" t="s">
        <v>82</v>
      </c>
      <c r="C23" s="3" t="s">
        <v>19</v>
      </c>
      <c r="D23" s="14">
        <f>D40</f>
        <v>1796.890247504303</v>
      </c>
      <c r="E23" s="14">
        <f t="shared" ref="E23:AA23" si="71">E40</f>
        <v>1853.2760217104194</v>
      </c>
      <c r="F23" s="14">
        <f t="shared" si="71"/>
        <v>3073.6790742258936</v>
      </c>
      <c r="G23" s="14">
        <f t="shared" si="71"/>
        <v>3471.3525384</v>
      </c>
      <c r="H23" s="14">
        <f t="shared" si="71"/>
        <v>2803.3208738410899</v>
      </c>
      <c r="I23" s="14">
        <f t="shared" si="71"/>
        <v>2752.4402681553047</v>
      </c>
      <c r="J23" s="14">
        <f t="shared" si="71"/>
        <v>2703.0049514692751</v>
      </c>
      <c r="K23" s="14">
        <f t="shared" si="71"/>
        <v>2654.9715459079798</v>
      </c>
      <c r="L23" s="14">
        <f t="shared" si="71"/>
        <v>2608.2980334886938</v>
      </c>
      <c r="M23" s="14">
        <f t="shared" si="71"/>
        <v>2576.7606064839524</v>
      </c>
      <c r="N23" s="14">
        <f t="shared" si="71"/>
        <v>2545.8030315774558</v>
      </c>
      <c r="O23" s="14">
        <f t="shared" si="71"/>
        <v>2515.4146397942509</v>
      </c>
      <c r="P23" s="14">
        <f t="shared" si="71"/>
        <v>2485.5849586001218</v>
      </c>
      <c r="Q23" s="14">
        <f t="shared" si="71"/>
        <v>2456.3037082822202</v>
      </c>
      <c r="R23" s="14">
        <f t="shared" si="71"/>
        <v>2434.4242703667883</v>
      </c>
      <c r="S23" s="14">
        <f t="shared" si="71"/>
        <v>2412.9531574614539</v>
      </c>
      <c r="T23" s="14">
        <f t="shared" si="71"/>
        <v>2391.882749200714</v>
      </c>
      <c r="U23" s="14">
        <f t="shared" si="71"/>
        <v>2371.2055674341418</v>
      </c>
      <c r="V23" s="14">
        <f t="shared" si="71"/>
        <v>2350.9142735722871</v>
      </c>
      <c r="W23" s="14">
        <f t="shared" si="71"/>
        <v>2331.001665982129</v>
      </c>
      <c r="X23" s="14">
        <f t="shared" si="71"/>
        <v>2311.4606774311228</v>
      </c>
      <c r="Y23" s="14">
        <f t="shared" si="71"/>
        <v>2292.2843725789503</v>
      </c>
      <c r="Z23" s="14">
        <f t="shared" si="71"/>
        <v>2273.4659455160804</v>
      </c>
      <c r="AA23" s="14">
        <f t="shared" si="71"/>
        <v>2254.9987173482723</v>
      </c>
      <c r="AB23" s="14">
        <f t="shared" ref="AB23:AL23" si="72">AB40</f>
        <v>2235.8761338261452</v>
      </c>
      <c r="AC23" s="14">
        <f t="shared" si="72"/>
        <v>2225.3466652087873</v>
      </c>
      <c r="AD23" s="14">
        <f t="shared" si="72"/>
        <v>2214.9124912776015</v>
      </c>
      <c r="AE23" s="14">
        <f t="shared" si="72"/>
        <v>2204.5726590857294</v>
      </c>
      <c r="AF23" s="14">
        <f t="shared" si="72"/>
        <v>2194.3262252157747</v>
      </c>
      <c r="AG23" s="14">
        <f t="shared" si="72"/>
        <v>2184.1722556845193</v>
      </c>
      <c r="AH23" s="14">
        <f t="shared" si="72"/>
        <v>2174.1098258485781</v>
      </c>
      <c r="AI23" s="14">
        <f t="shared" si="72"/>
        <v>2164.1380203109957</v>
      </c>
      <c r="AJ23" s="14">
        <f t="shared" si="72"/>
        <v>2154.2559328287884</v>
      </c>
      <c r="AK23" s="14">
        <f t="shared" si="72"/>
        <v>2144.4626662214037</v>
      </c>
      <c r="AL23" s="14">
        <f t="shared" si="72"/>
        <v>2134.7573322800927</v>
      </c>
    </row>
    <row r="24" spans="1:38" x14ac:dyDescent="0.25">
      <c r="A24" s="17"/>
      <c r="B24" s="18"/>
      <c r="C24" s="3" t="s">
        <v>29</v>
      </c>
      <c r="D24" s="14">
        <f>D41</f>
        <v>118788.12699999999</v>
      </c>
      <c r="E24" s="14">
        <f>E41</f>
        <v>122515.656</v>
      </c>
      <c r="F24" s="14">
        <f t="shared" ref="F24:AA24" si="73">F41</f>
        <v>203193.59</v>
      </c>
      <c r="G24" s="14">
        <f t="shared" si="73"/>
        <v>218250.27500000005</v>
      </c>
      <c r="H24" s="14">
        <f t="shared" si="73"/>
        <v>176249.90399593874</v>
      </c>
      <c r="I24" s="14">
        <f t="shared" si="73"/>
        <v>173050.9473759328</v>
      </c>
      <c r="J24" s="14">
        <f t="shared" si="73"/>
        <v>169942.85871536389</v>
      </c>
      <c r="K24" s="14">
        <f t="shared" si="73"/>
        <v>166922.91076799377</v>
      </c>
      <c r="L24" s="14">
        <f t="shared" si="73"/>
        <v>163988.46178649671</v>
      </c>
      <c r="M24" s="14">
        <f t="shared" si="73"/>
        <v>162005.6461431885</v>
      </c>
      <c r="N24" s="14">
        <f t="shared" si="73"/>
        <v>160059.28686047785</v>
      </c>
      <c r="O24" s="14">
        <f t="shared" si="73"/>
        <v>158148.71316042112</v>
      </c>
      <c r="P24" s="14">
        <f t="shared" si="73"/>
        <v>156273.26661566258</v>
      </c>
      <c r="Q24" s="14">
        <f t="shared" si="73"/>
        <v>154432.30092187817</v>
      </c>
      <c r="R24" s="14">
        <f t="shared" si="73"/>
        <v>153056.70069428234</v>
      </c>
      <c r="S24" s="14">
        <f t="shared" si="73"/>
        <v>151706.77260593403</v>
      </c>
      <c r="T24" s="14">
        <f t="shared" si="73"/>
        <v>150382.03755053447</v>
      </c>
      <c r="U24" s="14">
        <f t="shared" si="73"/>
        <v>149082.0253631064</v>
      </c>
      <c r="V24" s="14">
        <f t="shared" si="73"/>
        <v>147806.27465312614</v>
      </c>
      <c r="W24" s="14">
        <f t="shared" si="73"/>
        <v>146554.33264077085</v>
      </c>
      <c r="X24" s="14">
        <f t="shared" si="73"/>
        <v>145325.75499622119</v>
      </c>
      <c r="Y24" s="14">
        <f t="shared" si="73"/>
        <v>144120.10568196297</v>
      </c>
      <c r="Z24" s="14">
        <f t="shared" si="73"/>
        <v>142936.95679803204</v>
      </c>
      <c r="AA24" s="14">
        <f t="shared" si="73"/>
        <v>141775.88843014752</v>
      </c>
      <c r="AB24" s="14">
        <f t="shared" ref="AB24:AL24" si="74">AB41</f>
        <v>140573.61667403879</v>
      </c>
      <c r="AC24" s="14">
        <f t="shared" si="74"/>
        <v>139911.60974851879</v>
      </c>
      <c r="AD24" s="14">
        <f t="shared" si="74"/>
        <v>139255.59417398748</v>
      </c>
      <c r="AE24" s="14">
        <f t="shared" si="74"/>
        <v>138605.51003693521</v>
      </c>
      <c r="AF24" s="14">
        <f t="shared" si="74"/>
        <v>137961.298022987</v>
      </c>
      <c r="AG24" s="14">
        <f t="shared" si="74"/>
        <v>137322.89941091186</v>
      </c>
      <c r="AH24" s="14">
        <f t="shared" si="74"/>
        <v>136690.25606669116</v>
      </c>
      <c r="AI24" s="14">
        <f t="shared" si="74"/>
        <v>136063.31043764623</v>
      </c>
      <c r="AJ24" s="14">
        <f t="shared" si="74"/>
        <v>135442.00554662533</v>
      </c>
      <c r="AK24" s="14">
        <f t="shared" si="74"/>
        <v>134826.28498624824</v>
      </c>
      <c r="AL24" s="14">
        <f t="shared" si="74"/>
        <v>134216.09291320853</v>
      </c>
    </row>
    <row r="25" spans="1:38" hidden="1" x14ac:dyDescent="0.25">
      <c r="A25" s="17"/>
      <c r="B25" s="18" t="s">
        <v>31</v>
      </c>
      <c r="C25" s="19" t="s">
        <v>19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20">
        <v>0</v>
      </c>
      <c r="AK25" s="20">
        <v>0</v>
      </c>
      <c r="AL25" s="20">
        <v>0</v>
      </c>
    </row>
    <row r="26" spans="1:38" hidden="1" x14ac:dyDescent="0.25">
      <c r="A26" s="17"/>
      <c r="B26" s="18"/>
      <c r="C26" s="19" t="s">
        <v>29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</row>
    <row r="27" spans="1:38" hidden="1" x14ac:dyDescent="0.25">
      <c r="A27" s="17"/>
      <c r="B27" s="18"/>
      <c r="C27" s="19" t="s">
        <v>15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</row>
    <row r="28" spans="1:38" x14ac:dyDescent="0.25">
      <c r="A28" s="17"/>
      <c r="B28" s="16" t="s">
        <v>90</v>
      </c>
      <c r="C28" s="3" t="s">
        <v>19</v>
      </c>
      <c r="D28" s="20"/>
      <c r="E28" s="20"/>
      <c r="F28" s="20"/>
      <c r="G28" s="14">
        <f>G16+G40</f>
        <v>3471.3525384</v>
      </c>
      <c r="H28" s="14">
        <f t="shared" ref="H28:AA28" si="75">H16+H40</f>
        <v>3417.7653182855342</v>
      </c>
      <c r="I28" s="14">
        <f t="shared" si="75"/>
        <v>3366.884712599749</v>
      </c>
      <c r="J28" s="14">
        <f t="shared" si="75"/>
        <v>3317.4493959137194</v>
      </c>
      <c r="K28" s="14">
        <f t="shared" si="75"/>
        <v>3269.4159903524242</v>
      </c>
      <c r="L28" s="14">
        <f t="shared" si="75"/>
        <v>3222.7424779331382</v>
      </c>
      <c r="M28" s="14">
        <f t="shared" si="75"/>
        <v>3191.2050509283968</v>
      </c>
      <c r="N28" s="14">
        <f t="shared" si="75"/>
        <v>3160.2474760219002</v>
      </c>
      <c r="O28" s="14">
        <f t="shared" si="75"/>
        <v>3129.8590842386952</v>
      </c>
      <c r="P28" s="14">
        <f t="shared" si="75"/>
        <v>3100.0294030445662</v>
      </c>
      <c r="Q28" s="14">
        <f t="shared" si="75"/>
        <v>3070.7481527266646</v>
      </c>
      <c r="R28" s="14">
        <f t="shared" si="75"/>
        <v>3048.8687148112326</v>
      </c>
      <c r="S28" s="14">
        <f t="shared" si="75"/>
        <v>3027.3976019058982</v>
      </c>
      <c r="T28" s="14">
        <f t="shared" si="75"/>
        <v>3006.3271936451583</v>
      </c>
      <c r="U28" s="14">
        <f t="shared" si="75"/>
        <v>2985.6500118785862</v>
      </c>
      <c r="V28" s="14">
        <f t="shared" si="75"/>
        <v>2965.3587180167315</v>
      </c>
      <c r="W28" s="14">
        <f t="shared" si="75"/>
        <v>2945.4461104265733</v>
      </c>
      <c r="X28" s="14">
        <f t="shared" si="75"/>
        <v>2925.9051218755671</v>
      </c>
      <c r="Y28" s="14">
        <f t="shared" si="75"/>
        <v>2906.7288170233946</v>
      </c>
      <c r="Z28" s="14">
        <f t="shared" si="75"/>
        <v>2887.9103899605248</v>
      </c>
      <c r="AA28" s="14">
        <f t="shared" si="75"/>
        <v>2869.4431617927166</v>
      </c>
      <c r="AB28" s="14">
        <f t="shared" ref="AB28:AL28" si="76">AB16+AB40</f>
        <v>2851.3205782705895</v>
      </c>
      <c r="AC28" s="14">
        <f t="shared" si="76"/>
        <v>2841.7911096532316</v>
      </c>
      <c r="AD28" s="14">
        <f t="shared" si="76"/>
        <v>2832.3569357220458</v>
      </c>
      <c r="AE28" s="14">
        <f t="shared" si="76"/>
        <v>2823.0171035301737</v>
      </c>
      <c r="AF28" s="14">
        <f t="shared" si="76"/>
        <v>2813.770669660219</v>
      </c>
      <c r="AG28" s="14">
        <f t="shared" si="76"/>
        <v>2804.6167001289637</v>
      </c>
      <c r="AH28" s="14">
        <f t="shared" si="76"/>
        <v>2795.5542702930225</v>
      </c>
      <c r="AI28" s="14">
        <f t="shared" si="76"/>
        <v>2786.58246475544</v>
      </c>
      <c r="AJ28" s="14">
        <f t="shared" si="76"/>
        <v>2777.7003772732328</v>
      </c>
      <c r="AK28" s="14">
        <f t="shared" si="76"/>
        <v>2768.907110665848</v>
      </c>
      <c r="AL28" s="14">
        <f t="shared" si="76"/>
        <v>2760.201776724537</v>
      </c>
    </row>
    <row r="29" spans="1:38" x14ac:dyDescent="0.25">
      <c r="A29" s="17"/>
      <c r="B29" s="16"/>
      <c r="C29" s="3" t="s">
        <v>18</v>
      </c>
      <c r="D29" s="20"/>
      <c r="E29" s="20"/>
      <c r="F29" s="20"/>
      <c r="G29" s="14">
        <f>G46</f>
        <v>964.26459399999999</v>
      </c>
      <c r="H29" s="14">
        <f t="shared" ref="H29:AA29" si="77">H46</f>
        <v>948.70024273363606</v>
      </c>
      <c r="I29" s="14">
        <f t="shared" si="77"/>
        <v>934.5667411542513</v>
      </c>
      <c r="J29" s="14">
        <f t="shared" si="77"/>
        <v>920.83470874146531</v>
      </c>
      <c r="K29" s="14">
        <f t="shared" si="77"/>
        <v>907.49209608554997</v>
      </c>
      <c r="L29" s="14">
        <f t="shared" si="77"/>
        <v>894.52723152463716</v>
      </c>
      <c r="M29" s="14">
        <f t="shared" si="77"/>
        <v>885.76683513443118</v>
      </c>
      <c r="N29" s="14">
        <f t="shared" si="77"/>
        <v>877.16750877151549</v>
      </c>
      <c r="O29" s="14">
        <f t="shared" si="77"/>
        <v>868.72628883173638</v>
      </c>
      <c r="P29" s="14">
        <f t="shared" si="77"/>
        <v>860.44026627781159</v>
      </c>
      <c r="Q29" s="14">
        <f t="shared" si="77"/>
        <v>852.30658563395002</v>
      </c>
      <c r="R29" s="14">
        <f t="shared" si="77"/>
        <v>846.22896399077456</v>
      </c>
      <c r="S29" s="14">
        <f t="shared" si="77"/>
        <v>840.26476596151497</v>
      </c>
      <c r="T29" s="14">
        <f t="shared" si="77"/>
        <v>834.4118747779761</v>
      </c>
      <c r="U29" s="14">
        <f t="shared" si="77"/>
        <v>828.66821317615052</v>
      </c>
      <c r="V29" s="14">
        <f t="shared" si="77"/>
        <v>823.0317426589686</v>
      </c>
      <c r="W29" s="14">
        <f t="shared" si="77"/>
        <v>817.50046277281365</v>
      </c>
      <c r="X29" s="14">
        <f t="shared" si="77"/>
        <v>812.0724103975341</v>
      </c>
      <c r="Y29" s="14">
        <f t="shared" si="77"/>
        <v>806.74565904970837</v>
      </c>
      <c r="Z29" s="14">
        <f t="shared" si="77"/>
        <v>801.51831819891117</v>
      </c>
      <c r="AA29" s="14">
        <f t="shared" si="77"/>
        <v>796.38853259674227</v>
      </c>
      <c r="AB29" s="14">
        <f t="shared" ref="AB29:AL29" si="78">AB46</f>
        <v>791.3544816183736</v>
      </c>
      <c r="AC29" s="14">
        <f t="shared" si="78"/>
        <v>788.70740700244085</v>
      </c>
      <c r="AD29" s="14">
        <f t="shared" si="78"/>
        <v>786.08680313266711</v>
      </c>
      <c r="AE29" s="14">
        <f t="shared" si="78"/>
        <v>783.49240530159148</v>
      </c>
      <c r="AF29" s="14">
        <f t="shared" si="78"/>
        <v>780.9239514488263</v>
      </c>
      <c r="AG29" s="14">
        <f t="shared" si="78"/>
        <v>778.3811821345887</v>
      </c>
      <c r="AH29" s="14">
        <f t="shared" si="78"/>
        <v>775.86384051349387</v>
      </c>
      <c r="AI29" s="14">
        <f t="shared" si="78"/>
        <v>773.37167230860985</v>
      </c>
      <c r="AJ29" s="14">
        <f t="shared" si="78"/>
        <v>770.90442578577449</v>
      </c>
      <c r="AK29" s="14">
        <f t="shared" si="78"/>
        <v>768.46185172816763</v>
      </c>
      <c r="AL29" s="14">
        <f t="shared" si="78"/>
        <v>766.04370341113679</v>
      </c>
    </row>
    <row r="30" spans="1:38" x14ac:dyDescent="0.25">
      <c r="A30" s="17"/>
      <c r="B30" s="23" t="s">
        <v>39</v>
      </c>
      <c r="C30" s="17"/>
      <c r="D30" s="17"/>
      <c r="E30" s="17"/>
      <c r="F30" s="20"/>
      <c r="G30" s="19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</row>
    <row r="31" spans="1:38" s="57" customFormat="1" x14ac:dyDescent="0.25">
      <c r="A31" s="53"/>
      <c r="B31" s="54" t="s">
        <v>21</v>
      </c>
      <c r="C31" s="55" t="s">
        <v>18</v>
      </c>
      <c r="D31" s="56">
        <v>108.9</v>
      </c>
      <c r="E31" s="56">
        <v>126.1</v>
      </c>
      <c r="F31" s="56">
        <v>222.25</v>
      </c>
      <c r="G31" s="56">
        <f>218612/1000</f>
        <v>218.61199999999999</v>
      </c>
      <c r="H31" s="67">
        <f>H32*0.35</f>
        <v>215.50385528081881</v>
      </c>
      <c r="I31" s="56">
        <f t="shared" ref="I31:AL31" si="79">I32*0.35</f>
        <v>212.29333214423929</v>
      </c>
      <c r="J31" s="56">
        <f t="shared" si="79"/>
        <v>209.17400551977312</v>
      </c>
      <c r="K31" s="56">
        <f t="shared" si="79"/>
        <v>206.14313830023585</v>
      </c>
      <c r="L31" s="56">
        <f t="shared" si="79"/>
        <v>203.19807918649551</v>
      </c>
      <c r="M31" s="56">
        <f t="shared" si="79"/>
        <v>201.20809424621802</v>
      </c>
      <c r="N31" s="56">
        <f t="shared" si="79"/>
        <v>199.25469748236091</v>
      </c>
      <c r="O31" s="56">
        <f t="shared" si="79"/>
        <v>197.33721569163845</v>
      </c>
      <c r="P31" s="56">
        <f t="shared" si="79"/>
        <v>195.45498806600904</v>
      </c>
      <c r="Q31" s="56">
        <f t="shared" si="79"/>
        <v>193.60736596429606</v>
      </c>
      <c r="R31" s="56">
        <f t="shared" si="79"/>
        <v>192.22679195783383</v>
      </c>
      <c r="S31" s="56">
        <f t="shared" si="79"/>
        <v>190.8719829137672</v>
      </c>
      <c r="T31" s="56">
        <f t="shared" si="79"/>
        <v>189.54245799348544</v>
      </c>
      <c r="U31" s="56">
        <f t="shared" si="79"/>
        <v>188.23774533202851</v>
      </c>
      <c r="V31" s="56">
        <f t="shared" si="79"/>
        <v>186.95738187061596</v>
      </c>
      <c r="W31" s="56">
        <f t="shared" si="79"/>
        <v>185.70091319230204</v>
      </c>
      <c r="X31" s="56">
        <f t="shared" si="79"/>
        <v>184.46789336069713</v>
      </c>
      <c r="Y31" s="56">
        <f t="shared" si="79"/>
        <v>183.25788476169961</v>
      </c>
      <c r="Z31" s="56">
        <f t="shared" si="79"/>
        <v>182.07045794818083</v>
      </c>
      <c r="AA31" s="56">
        <f t="shared" si="79"/>
        <v>180.90519148756937</v>
      </c>
      <c r="AB31" s="56">
        <f t="shared" si="79"/>
        <v>179.76167181227908</v>
      </c>
      <c r="AC31" s="56">
        <f t="shared" si="79"/>
        <v>179.16037041142164</v>
      </c>
      <c r="AD31" s="56">
        <f t="shared" si="79"/>
        <v>178.56508202457275</v>
      </c>
      <c r="AE31" s="56">
        <f t="shared" si="79"/>
        <v>177.97574652159241</v>
      </c>
      <c r="AF31" s="56">
        <f t="shared" si="79"/>
        <v>177.39230437364182</v>
      </c>
      <c r="AG31" s="56">
        <f t="shared" si="79"/>
        <v>176.81469664717071</v>
      </c>
      <c r="AH31" s="56">
        <f t="shared" si="79"/>
        <v>176.24286499796438</v>
      </c>
      <c r="AI31" s="56">
        <f t="shared" si="79"/>
        <v>175.67675166525007</v>
      </c>
      <c r="AJ31" s="56">
        <f t="shared" si="79"/>
        <v>175.11629946586294</v>
      </c>
      <c r="AK31" s="56">
        <f t="shared" si="79"/>
        <v>174.56145178846964</v>
      </c>
      <c r="AL31" s="56">
        <f t="shared" si="79"/>
        <v>174.0121525878503</v>
      </c>
    </row>
    <row r="32" spans="1:38" s="57" customFormat="1" x14ac:dyDescent="0.25">
      <c r="A32" s="53"/>
      <c r="B32" s="54" t="s">
        <v>22</v>
      </c>
      <c r="C32" s="55" t="s">
        <v>15</v>
      </c>
      <c r="D32" s="56">
        <f t="shared" ref="D32:AA32" si="80">D5-D49</f>
        <v>677.84591777762478</v>
      </c>
      <c r="E32" s="56">
        <f t="shared" si="80"/>
        <v>642.17856857762479</v>
      </c>
      <c r="F32" s="56">
        <f t="shared" si="80"/>
        <v>698.0137333776247</v>
      </c>
      <c r="G32" s="56">
        <f t="shared" si="80"/>
        <v>627.36685919999991</v>
      </c>
      <c r="H32" s="67">
        <f t="shared" si="80"/>
        <v>615.72530080233946</v>
      </c>
      <c r="I32" s="56">
        <f t="shared" si="80"/>
        <v>606.55237755496944</v>
      </c>
      <c r="J32" s="56">
        <f t="shared" si="80"/>
        <v>597.64001577078034</v>
      </c>
      <c r="K32" s="56">
        <f t="shared" si="80"/>
        <v>588.98039514353104</v>
      </c>
      <c r="L32" s="56">
        <f t="shared" si="80"/>
        <v>580.56594053284437</v>
      </c>
      <c r="M32" s="56">
        <f t="shared" si="80"/>
        <v>574.88026927490864</v>
      </c>
      <c r="N32" s="56">
        <f t="shared" si="80"/>
        <v>569.29913566388836</v>
      </c>
      <c r="O32" s="56">
        <f t="shared" si="80"/>
        <v>563.82061626182417</v>
      </c>
      <c r="P32" s="56">
        <f t="shared" si="80"/>
        <v>558.44282304574017</v>
      </c>
      <c r="Q32" s="56">
        <f t="shared" si="80"/>
        <v>553.16390275513163</v>
      </c>
      <c r="R32" s="56">
        <f t="shared" si="80"/>
        <v>549.21940559381096</v>
      </c>
      <c r="S32" s="56">
        <f t="shared" si="80"/>
        <v>545.34852261076344</v>
      </c>
      <c r="T32" s="56">
        <f t="shared" si="80"/>
        <v>541.54987998138699</v>
      </c>
      <c r="U32" s="56">
        <f t="shared" si="80"/>
        <v>537.82212952008149</v>
      </c>
      <c r="V32" s="56">
        <f t="shared" si="80"/>
        <v>534.16394820175992</v>
      </c>
      <c r="W32" s="56">
        <f t="shared" si="80"/>
        <v>530.57403769229154</v>
      </c>
      <c r="X32" s="56">
        <f t="shared" si="80"/>
        <v>527.05112388770613</v>
      </c>
      <c r="Y32" s="56">
        <f t="shared" si="80"/>
        <v>523.59395646199891</v>
      </c>
      <c r="Z32" s="56">
        <f t="shared" si="80"/>
        <v>520.2013084233738</v>
      </c>
      <c r="AA32" s="56">
        <f t="shared" si="80"/>
        <v>516.87197567876967</v>
      </c>
      <c r="AB32" s="56">
        <f t="shared" ref="AB32:AL32" si="81">AB5-AB49</f>
        <v>513.60477660651168</v>
      </c>
      <c r="AC32" s="56">
        <f t="shared" si="81"/>
        <v>511.88677260406183</v>
      </c>
      <c r="AD32" s="56">
        <f t="shared" si="81"/>
        <v>510.18594864163646</v>
      </c>
      <c r="AE32" s="56">
        <f t="shared" si="81"/>
        <v>508.50213291883546</v>
      </c>
      <c r="AF32" s="56">
        <f t="shared" si="81"/>
        <v>506.83515535326234</v>
      </c>
      <c r="AG32" s="56">
        <f t="shared" si="81"/>
        <v>505.18484756334493</v>
      </c>
      <c r="AH32" s="56">
        <f t="shared" si="81"/>
        <v>503.55104285132683</v>
      </c>
      <c r="AI32" s="56">
        <f t="shared" si="81"/>
        <v>501.93357618642881</v>
      </c>
      <c r="AJ32" s="56">
        <f t="shared" si="81"/>
        <v>500.33228418817981</v>
      </c>
      <c r="AK32" s="56">
        <f t="shared" si="81"/>
        <v>498.74700510991329</v>
      </c>
      <c r="AL32" s="56">
        <f t="shared" si="81"/>
        <v>497.17757882242944</v>
      </c>
    </row>
    <row r="33" spans="1:38" s="52" customFormat="1" x14ac:dyDescent="0.25">
      <c r="A33" s="48"/>
      <c r="B33" s="49" t="s">
        <v>80</v>
      </c>
      <c r="C33" s="50" t="s">
        <v>18</v>
      </c>
      <c r="D33" s="51">
        <f>(((D32*1000/4.1848)*1.162)/1000)+D31</f>
        <v>297.11854245306824</v>
      </c>
      <c r="E33" s="51">
        <f>(((E32*1000/4.1848)*1.162)/1000)+E31</f>
        <v>304.41473348480213</v>
      </c>
      <c r="F33" s="51">
        <f>(((F32*1000/4.1848)*1.162)/1000)+F31</f>
        <v>416.0685715410055</v>
      </c>
      <c r="G33" s="51">
        <f>(((G32*1000/4.1868)*1.162)/1000)+G31</f>
        <v>392.730728</v>
      </c>
      <c r="H33" s="51">
        <f>(((H32*1000/4.1868)*1.162)/1000)+H31</f>
        <v>386.39159759770007</v>
      </c>
      <c r="I33" s="51">
        <f t="shared" ref="I33:AA33" si="82">(((I32*1000/4.1868)*1.162)/1000)+I31</f>
        <v>380.63523114081767</v>
      </c>
      <c r="J33" s="51">
        <f t="shared" si="82"/>
        <v>375.04237714622928</v>
      </c>
      <c r="K33" s="51">
        <f t="shared" si="82"/>
        <v>369.60812806730928</v>
      </c>
      <c r="L33" s="51">
        <f t="shared" si="82"/>
        <v>364.32773020855655</v>
      </c>
      <c r="M33" s="51">
        <f t="shared" si="82"/>
        <v>360.75975014032417</v>
      </c>
      <c r="N33" s="51">
        <f t="shared" si="82"/>
        <v>357.25737151537857</v>
      </c>
      <c r="O33" s="51">
        <f t="shared" si="82"/>
        <v>353.81938730151705</v>
      </c>
      <c r="P33" s="51">
        <f t="shared" si="82"/>
        <v>350.44461269081796</v>
      </c>
      <c r="Q33" s="51">
        <f t="shared" si="82"/>
        <v>347.13188469016376</v>
      </c>
      <c r="R33" s="51">
        <f t="shared" si="82"/>
        <v>344.65655915474036</v>
      </c>
      <c r="S33" s="51">
        <f t="shared" si="82"/>
        <v>342.22742938212184</v>
      </c>
      <c r="T33" s="51">
        <f t="shared" si="82"/>
        <v>339.84363324388471</v>
      </c>
      <c r="U33" s="51">
        <f t="shared" si="82"/>
        <v>337.50432470107762</v>
      </c>
      <c r="V33" s="51">
        <f t="shared" si="82"/>
        <v>335.20867350395054</v>
      </c>
      <c r="W33" s="51">
        <f t="shared" si="82"/>
        <v>332.95586489728981</v>
      </c>
      <c r="X33" s="51">
        <f t="shared" si="82"/>
        <v>330.74509933125091</v>
      </c>
      <c r="Y33" s="51">
        <f t="shared" si="82"/>
        <v>328.57559217758831</v>
      </c>
      <c r="Z33" s="51">
        <f t="shared" si="82"/>
        <v>326.44657345118083</v>
      </c>
      <c r="AA33" s="51">
        <f t="shared" si="82"/>
        <v>324.357287536755</v>
      </c>
      <c r="AB33" s="51">
        <f t="shared" ref="AB33:AL33" si="83">(((AB32*1000/4.1868)*1.162)/1000)+AB31</f>
        <v>322.3069929207071</v>
      </c>
      <c r="AC33" s="51">
        <f t="shared" si="83"/>
        <v>321.22887852404222</v>
      </c>
      <c r="AD33" s="51">
        <f t="shared" si="83"/>
        <v>320.16154527134393</v>
      </c>
      <c r="AE33" s="51">
        <f t="shared" si="83"/>
        <v>319.1048853511727</v>
      </c>
      <c r="AF33" s="51">
        <f t="shared" si="83"/>
        <v>318.05879203020311</v>
      </c>
      <c r="AG33" s="51">
        <f t="shared" si="83"/>
        <v>317.02315964244315</v>
      </c>
      <c r="AH33" s="51">
        <f t="shared" si="83"/>
        <v>315.99788357856096</v>
      </c>
      <c r="AI33" s="51">
        <f t="shared" si="83"/>
        <v>314.98286027531753</v>
      </c>
      <c r="AJ33" s="51">
        <f t="shared" si="83"/>
        <v>313.9779872051065</v>
      </c>
      <c r="AK33" s="51">
        <f t="shared" si="83"/>
        <v>312.98316286559759</v>
      </c>
      <c r="AL33" s="51">
        <f t="shared" si="83"/>
        <v>311.9982867694838</v>
      </c>
    </row>
    <row r="34" spans="1:38" s="57" customFormat="1" x14ac:dyDescent="0.25">
      <c r="A34" s="53"/>
      <c r="B34" s="54" t="s">
        <v>58</v>
      </c>
      <c r="C34" s="55" t="s">
        <v>19</v>
      </c>
      <c r="D34" s="56">
        <f>70*8.24*4.1848/1000</f>
        <v>2.41379264</v>
      </c>
      <c r="E34" s="56">
        <v>0</v>
      </c>
      <c r="F34" s="56">
        <v>0</v>
      </c>
      <c r="G34" s="56">
        <v>0</v>
      </c>
      <c r="H34" s="56">
        <v>612</v>
      </c>
      <c r="I34" s="56">
        <v>612</v>
      </c>
      <c r="J34" s="56">
        <v>612</v>
      </c>
      <c r="K34" s="56">
        <v>612</v>
      </c>
      <c r="L34" s="56">
        <v>612</v>
      </c>
      <c r="M34" s="56">
        <v>612</v>
      </c>
      <c r="N34" s="56">
        <v>612</v>
      </c>
      <c r="O34" s="56">
        <v>612</v>
      </c>
      <c r="P34" s="56">
        <v>612</v>
      </c>
      <c r="Q34" s="56">
        <v>612</v>
      </c>
      <c r="R34" s="56">
        <v>612</v>
      </c>
      <c r="S34" s="56">
        <v>612</v>
      </c>
      <c r="T34" s="56">
        <v>612</v>
      </c>
      <c r="U34" s="56">
        <v>612</v>
      </c>
      <c r="V34" s="56">
        <v>612</v>
      </c>
      <c r="W34" s="56">
        <v>612</v>
      </c>
      <c r="X34" s="56">
        <v>612</v>
      </c>
      <c r="Y34" s="56">
        <v>612</v>
      </c>
      <c r="Z34" s="56">
        <v>612</v>
      </c>
      <c r="AA34" s="56">
        <v>612</v>
      </c>
      <c r="AB34" s="56">
        <v>613</v>
      </c>
      <c r="AC34" s="56">
        <v>614</v>
      </c>
      <c r="AD34" s="56">
        <v>615</v>
      </c>
      <c r="AE34" s="56">
        <v>616</v>
      </c>
      <c r="AF34" s="56">
        <v>617</v>
      </c>
      <c r="AG34" s="56">
        <v>618</v>
      </c>
      <c r="AH34" s="56">
        <v>619</v>
      </c>
      <c r="AI34" s="56">
        <v>620</v>
      </c>
      <c r="AJ34" s="56">
        <v>621</v>
      </c>
      <c r="AK34" s="56">
        <v>622</v>
      </c>
      <c r="AL34" s="56">
        <v>623</v>
      </c>
    </row>
    <row r="35" spans="1:38" s="57" customFormat="1" x14ac:dyDescent="0.25">
      <c r="A35" s="53"/>
      <c r="B35" s="54"/>
      <c r="C35" s="55" t="s">
        <v>20</v>
      </c>
      <c r="D35" s="56">
        <v>70.11</v>
      </c>
      <c r="E35" s="56">
        <v>0</v>
      </c>
      <c r="F35" s="56">
        <v>0</v>
      </c>
      <c r="G35" s="56">
        <v>0</v>
      </c>
      <c r="H35" s="56">
        <f>(H16*1000/4.1868)/8.24</f>
        <v>17810.380371494775</v>
      </c>
      <c r="I35" s="56">
        <f t="shared" ref="I35:AA35" si="84">H35</f>
        <v>17810.380371494775</v>
      </c>
      <c r="J35" s="56">
        <f t="shared" si="84"/>
        <v>17810.380371494775</v>
      </c>
      <c r="K35" s="56">
        <f t="shared" si="84"/>
        <v>17810.380371494775</v>
      </c>
      <c r="L35" s="56">
        <f t="shared" si="84"/>
        <v>17810.380371494775</v>
      </c>
      <c r="M35" s="56">
        <f t="shared" si="84"/>
        <v>17810.380371494775</v>
      </c>
      <c r="N35" s="56">
        <f t="shared" si="84"/>
        <v>17810.380371494775</v>
      </c>
      <c r="O35" s="56">
        <f t="shared" si="84"/>
        <v>17810.380371494775</v>
      </c>
      <c r="P35" s="56">
        <f t="shared" si="84"/>
        <v>17810.380371494775</v>
      </c>
      <c r="Q35" s="56">
        <f t="shared" si="84"/>
        <v>17810.380371494775</v>
      </c>
      <c r="R35" s="56">
        <f t="shared" si="84"/>
        <v>17810.380371494775</v>
      </c>
      <c r="S35" s="56">
        <f t="shared" si="84"/>
        <v>17810.380371494775</v>
      </c>
      <c r="T35" s="56">
        <f t="shared" si="84"/>
        <v>17810.380371494775</v>
      </c>
      <c r="U35" s="56">
        <f t="shared" si="84"/>
        <v>17810.380371494775</v>
      </c>
      <c r="V35" s="56">
        <f t="shared" si="84"/>
        <v>17810.380371494775</v>
      </c>
      <c r="W35" s="56">
        <f t="shared" si="84"/>
        <v>17810.380371494775</v>
      </c>
      <c r="X35" s="56">
        <f t="shared" si="84"/>
        <v>17810.380371494775</v>
      </c>
      <c r="Y35" s="56">
        <f t="shared" si="84"/>
        <v>17810.380371494775</v>
      </c>
      <c r="Z35" s="56">
        <f t="shared" si="84"/>
        <v>17810.380371494775</v>
      </c>
      <c r="AA35" s="56">
        <f t="shared" si="84"/>
        <v>17810.380371494775</v>
      </c>
      <c r="AB35" s="56">
        <f t="shared" ref="AB35" si="85">AA35</f>
        <v>17810.380371494775</v>
      </c>
      <c r="AC35" s="56">
        <f t="shared" ref="AC35" si="86">AB35</f>
        <v>17810.380371494775</v>
      </c>
      <c r="AD35" s="56">
        <f t="shared" ref="AD35" si="87">AC35</f>
        <v>17810.380371494775</v>
      </c>
      <c r="AE35" s="56">
        <f t="shared" ref="AE35" si="88">AD35</f>
        <v>17810.380371494775</v>
      </c>
      <c r="AF35" s="56">
        <f t="shared" ref="AF35" si="89">AE35</f>
        <v>17810.380371494775</v>
      </c>
      <c r="AG35" s="56">
        <f t="shared" ref="AG35" si="90">AF35</f>
        <v>17810.380371494775</v>
      </c>
      <c r="AH35" s="56">
        <f t="shared" ref="AH35" si="91">AG35</f>
        <v>17810.380371494775</v>
      </c>
      <c r="AI35" s="56">
        <f t="shared" ref="AI35" si="92">AH35</f>
        <v>17810.380371494775</v>
      </c>
      <c r="AJ35" s="56">
        <f t="shared" ref="AJ35" si="93">AI35</f>
        <v>17810.380371494775</v>
      </c>
      <c r="AK35" s="56">
        <f t="shared" ref="AK35" si="94">AJ35</f>
        <v>17810.380371494775</v>
      </c>
      <c r="AL35" s="56">
        <f t="shared" ref="AL35" si="95">AK35</f>
        <v>17810.380371494775</v>
      </c>
    </row>
    <row r="36" spans="1:38" s="65" customFormat="1" ht="30" hidden="1" x14ac:dyDescent="0.25">
      <c r="A36" s="60"/>
      <c r="B36" s="61" t="s">
        <v>40</v>
      </c>
      <c r="C36" s="62" t="s">
        <v>15</v>
      </c>
      <c r="D36" s="64">
        <f t="shared" ref="D36:K36" si="96">(D31*1000/1.162)*4.1868/1000/0.35</f>
        <v>1121.0782394885666</v>
      </c>
      <c r="E36" s="64">
        <f t="shared" si="96"/>
        <v>1298.1447750184411</v>
      </c>
      <c r="F36" s="64">
        <f t="shared" si="96"/>
        <v>2287.9672977624787</v>
      </c>
      <c r="G36" s="64">
        <f t="shared" si="96"/>
        <v>2250.5156665847067</v>
      </c>
      <c r="H36" s="64">
        <f t="shared" si="96"/>
        <v>2218.5186655759344</v>
      </c>
      <c r="I36" s="64">
        <f t="shared" si="96"/>
        <v>2185.4677231903152</v>
      </c>
      <c r="J36" s="64">
        <f t="shared" si="96"/>
        <v>2153.3556093193656</v>
      </c>
      <c r="K36" s="64">
        <f t="shared" si="96"/>
        <v>2122.1541466324747</v>
      </c>
      <c r="L36" s="64">
        <f t="shared" ref="L36:AA36" si="97">((L31*1000/1.162)*4.1868/1000)/0.35</f>
        <v>2091.836041155691</v>
      </c>
      <c r="M36" s="64">
        <f t="shared" si="97"/>
        <v>2071.3500098108329</v>
      </c>
      <c r="N36" s="64">
        <f t="shared" si="97"/>
        <v>2051.2406378636556</v>
      </c>
      <c r="O36" s="64">
        <f t="shared" si="97"/>
        <v>2031.5009949784899</v>
      </c>
      <c r="P36" s="64">
        <f t="shared" si="97"/>
        <v>2012.1242784233261</v>
      </c>
      <c r="Q36" s="64">
        <f t="shared" si="97"/>
        <v>1993.1038107187483</v>
      </c>
      <c r="R36" s="64">
        <f t="shared" si="97"/>
        <v>1978.8914004648605</v>
      </c>
      <c r="S36" s="64">
        <f t="shared" si="97"/>
        <v>1964.9442293173361</v>
      </c>
      <c r="T36" s="64">
        <f t="shared" si="97"/>
        <v>1951.257347251352</v>
      </c>
      <c r="U36" s="64">
        <f t="shared" si="97"/>
        <v>1937.8258966219253</v>
      </c>
      <c r="V36" s="64">
        <f t="shared" si="97"/>
        <v>1924.6451104398698</v>
      </c>
      <c r="W36" s="64">
        <f t="shared" si="97"/>
        <v>1911.7103106799366</v>
      </c>
      <c r="X36" s="64">
        <f t="shared" ref="X36:Z36" si="98">((X31*1000/1.162)*4.1868/1000)/0.35</f>
        <v>1899.0169066205233</v>
      </c>
      <c r="Y36" s="64">
        <f t="shared" si="98"/>
        <v>1886.5603932143695</v>
      </c>
      <c r="Z36" s="64">
        <f t="shared" si="98"/>
        <v>1874.3363494896569</v>
      </c>
      <c r="AA36" s="64">
        <f t="shared" si="97"/>
        <v>1862.340436980958</v>
      </c>
      <c r="AB36" s="64">
        <f t="shared" ref="AB36:AL36" si="99">((AB31*1000/1.162)*4.1868/1000)/0.35</f>
        <v>1850.5683981894522</v>
      </c>
      <c r="AC36" s="64">
        <f t="shared" si="99"/>
        <v>1844.3782612209002</v>
      </c>
      <c r="AD36" s="64">
        <f t="shared" si="99"/>
        <v>1838.2500256220339</v>
      </c>
      <c r="AE36" s="64">
        <f t="shared" si="99"/>
        <v>1832.183072379157</v>
      </c>
      <c r="AF36" s="64">
        <f t="shared" si="99"/>
        <v>1826.1767886687087</v>
      </c>
      <c r="AG36" s="64">
        <f t="shared" si="99"/>
        <v>1820.2305677953636</v>
      </c>
      <c r="AH36" s="64">
        <f t="shared" si="99"/>
        <v>1814.3438091307532</v>
      </c>
      <c r="AI36" s="64">
        <f t="shared" si="99"/>
        <v>1808.5159180527883</v>
      </c>
      <c r="AJ36" s="64">
        <f t="shared" si="99"/>
        <v>1802.7463058856035</v>
      </c>
      <c r="AK36" s="64">
        <f t="shared" si="99"/>
        <v>1797.0343898400899</v>
      </c>
      <c r="AL36" s="64">
        <f t="shared" si="99"/>
        <v>1791.3795929550322</v>
      </c>
    </row>
    <row r="37" spans="1:38" s="65" customFormat="1" hidden="1" x14ac:dyDescent="0.25">
      <c r="A37" s="60"/>
      <c r="B37" s="61"/>
      <c r="C37" s="62" t="s">
        <v>20</v>
      </c>
      <c r="D37" s="64">
        <f>D36*1000/4.1868/8.392</f>
        <v>31907.166027195104</v>
      </c>
      <c r="E37" s="64">
        <f t="shared" ref="E37:K37" si="100">E36*1000/4.1868/8.392</f>
        <v>36946.681689892583</v>
      </c>
      <c r="F37" s="64">
        <f t="shared" si="100"/>
        <v>65118.16023456485</v>
      </c>
      <c r="G37" s="64">
        <f t="shared" si="100"/>
        <v>64052.244072885012</v>
      </c>
      <c r="H37" s="64">
        <f t="shared" si="100"/>
        <v>63141.572910428971</v>
      </c>
      <c r="I37" s="64">
        <f t="shared" si="100"/>
        <v>62200.905373670517</v>
      </c>
      <c r="J37" s="64">
        <f t="shared" si="100"/>
        <v>61286.957967794537</v>
      </c>
      <c r="K37" s="64">
        <f t="shared" si="100"/>
        <v>60398.928733816974</v>
      </c>
      <c r="L37" s="64">
        <f t="shared" ref="L37:AA37" si="101">L35-L39</f>
        <v>59393.058737555359</v>
      </c>
      <c r="M37" s="64">
        <f t="shared" si="101"/>
        <v>58817.41114639047</v>
      </c>
      <c r="N37" s="64">
        <f t="shared" si="101"/>
        <v>58252.347502468183</v>
      </c>
      <c r="O37" s="64">
        <f t="shared" si="101"/>
        <v>57697.673066701842</v>
      </c>
      <c r="P37" s="64">
        <f t="shared" si="101"/>
        <v>57153.196685605959</v>
      </c>
      <c r="Q37" s="64">
        <f t="shared" si="101"/>
        <v>56618.730725232526</v>
      </c>
      <c r="R37" s="64">
        <f t="shared" si="101"/>
        <v>56219.36885813516</v>
      </c>
      <c r="S37" s="64">
        <f t="shared" si="101"/>
        <v>55827.460081882498</v>
      </c>
      <c r="T37" s="64">
        <f t="shared" si="101"/>
        <v>55442.865303166633</v>
      </c>
      <c r="U37" s="64">
        <f t="shared" si="101"/>
        <v>55065.448024508602</v>
      </c>
      <c r="V37" s="64">
        <f t="shared" si="101"/>
        <v>54695.074295813494</v>
      </c>
      <c r="W37" s="64">
        <f t="shared" si="101"/>
        <v>54331.612666830159</v>
      </c>
      <c r="X37" s="64">
        <f t="shared" ref="X37:Z37" si="102">X35-X39</f>
        <v>53974.934140497731</v>
      </c>
      <c r="Y37" s="64">
        <f t="shared" si="102"/>
        <v>53624.912127162999</v>
      </c>
      <c r="Z37" s="64">
        <f t="shared" si="102"/>
        <v>53281.422399652103</v>
      </c>
      <c r="AA37" s="64">
        <f t="shared" si="101"/>
        <v>52944.343049180883</v>
      </c>
      <c r="AB37" s="64">
        <f t="shared" ref="AB37:AL37" si="103">AB35-AB39</f>
        <v>52585.454924837555</v>
      </c>
      <c r="AC37" s="64">
        <f t="shared" si="103"/>
        <v>52383.415547057753</v>
      </c>
      <c r="AD37" s="64">
        <f t="shared" si="103"/>
        <v>52183.115567883258</v>
      </c>
      <c r="AE37" s="64">
        <f t="shared" si="103"/>
        <v>51984.537593328016</v>
      </c>
      <c r="AF37" s="64">
        <f t="shared" si="103"/>
        <v>51787.664403345814</v>
      </c>
      <c r="AG37" s="64">
        <f t="shared" si="103"/>
        <v>51592.47895009091</v>
      </c>
      <c r="AH37" s="64">
        <f t="shared" si="103"/>
        <v>51398.964356196084</v>
      </c>
      <c r="AI37" s="64">
        <f t="shared" si="103"/>
        <v>51207.10391306768</v>
      </c>
      <c r="AJ37" s="64">
        <f t="shared" si="103"/>
        <v>51016.88107919808</v>
      </c>
      <c r="AK37" s="64">
        <f t="shared" si="103"/>
        <v>50828.279478494645</v>
      </c>
      <c r="AL37" s="64">
        <f t="shared" si="103"/>
        <v>50641.282898625766</v>
      </c>
    </row>
    <row r="38" spans="1:38" s="65" customFormat="1" ht="30" hidden="1" x14ac:dyDescent="0.25">
      <c r="A38" s="60"/>
      <c r="B38" s="61" t="s">
        <v>24</v>
      </c>
      <c r="C38" s="62" t="s">
        <v>15</v>
      </c>
      <c r="D38" s="64">
        <f>D34-D36</f>
        <v>-1118.6644468485665</v>
      </c>
      <c r="E38" s="64">
        <f t="shared" ref="E38:T39" si="104">E34-E36</f>
        <v>-1298.1447750184411</v>
      </c>
      <c r="F38" s="64">
        <f t="shared" si="104"/>
        <v>-2287.9672977624787</v>
      </c>
      <c r="G38" s="64">
        <f t="shared" si="104"/>
        <v>-2250.5156665847067</v>
      </c>
      <c r="H38" s="64">
        <f>H34-H36</f>
        <v>-1606.5186655759344</v>
      </c>
      <c r="I38" s="64">
        <f t="shared" si="104"/>
        <v>-1573.4677231903152</v>
      </c>
      <c r="J38" s="64">
        <f t="shared" si="104"/>
        <v>-1541.3556093193656</v>
      </c>
      <c r="K38" s="64">
        <f t="shared" si="104"/>
        <v>-1510.1541466324747</v>
      </c>
      <c r="L38" s="64">
        <f t="shared" si="104"/>
        <v>-1479.836041155691</v>
      </c>
      <c r="M38" s="64">
        <f t="shared" si="104"/>
        <v>-1459.3500098108329</v>
      </c>
      <c r="N38" s="64">
        <f t="shared" si="104"/>
        <v>-1439.2406378636556</v>
      </c>
      <c r="O38" s="64">
        <f t="shared" si="104"/>
        <v>-1419.5009949784899</v>
      </c>
      <c r="P38" s="64">
        <f t="shared" si="104"/>
        <v>-1400.1242784233261</v>
      </c>
      <c r="Q38" s="64">
        <f t="shared" si="104"/>
        <v>-1381.1038107187483</v>
      </c>
      <c r="R38" s="64">
        <f t="shared" si="104"/>
        <v>-1366.8914004648605</v>
      </c>
      <c r="S38" s="64">
        <f t="shared" si="104"/>
        <v>-1352.9442293173361</v>
      </c>
      <c r="T38" s="64">
        <f t="shared" si="104"/>
        <v>-1339.257347251352</v>
      </c>
      <c r="U38" s="64">
        <f>U34-U36</f>
        <v>-1325.8258966219253</v>
      </c>
      <c r="V38" s="64">
        <f>V34-V36</f>
        <v>-1312.6451104398698</v>
      </c>
      <c r="W38" s="64">
        <f>W34-W36</f>
        <v>-1299.7103106799366</v>
      </c>
      <c r="X38" s="64">
        <f t="shared" ref="X38:Z38" si="105">X34-X36</f>
        <v>-1287.0169066205233</v>
      </c>
      <c r="Y38" s="64">
        <f t="shared" si="105"/>
        <v>-1274.5603932143695</v>
      </c>
      <c r="Z38" s="64">
        <f t="shared" si="105"/>
        <v>-1262.3363494896569</v>
      </c>
      <c r="AA38" s="64">
        <f>AA34-AA36</f>
        <v>-1250.340436980958</v>
      </c>
      <c r="AB38" s="64">
        <f t="shared" ref="AB38:AL38" si="106">AB34-AB36</f>
        <v>-1237.5683981894522</v>
      </c>
      <c r="AC38" s="64">
        <f t="shared" si="106"/>
        <v>-1230.3782612209002</v>
      </c>
      <c r="AD38" s="64">
        <f t="shared" si="106"/>
        <v>-1223.2500256220339</v>
      </c>
      <c r="AE38" s="64">
        <f t="shared" si="106"/>
        <v>-1216.183072379157</v>
      </c>
      <c r="AF38" s="64">
        <f t="shared" si="106"/>
        <v>-1209.1767886687087</v>
      </c>
      <c r="AG38" s="64">
        <f t="shared" si="106"/>
        <v>-1202.2305677953636</v>
      </c>
      <c r="AH38" s="64">
        <f t="shared" si="106"/>
        <v>-1195.3438091307532</v>
      </c>
      <c r="AI38" s="64">
        <f t="shared" si="106"/>
        <v>-1188.5159180527883</v>
      </c>
      <c r="AJ38" s="64">
        <f t="shared" si="106"/>
        <v>-1181.7463058856035</v>
      </c>
      <c r="AK38" s="64">
        <f t="shared" si="106"/>
        <v>-1175.0343898400899</v>
      </c>
      <c r="AL38" s="64">
        <f t="shared" si="106"/>
        <v>-1168.3795929550322</v>
      </c>
    </row>
    <row r="39" spans="1:38" s="65" customFormat="1" hidden="1" x14ac:dyDescent="0.25">
      <c r="A39" s="60"/>
      <c r="B39" s="61"/>
      <c r="C39" s="62" t="s">
        <v>20</v>
      </c>
      <c r="D39" s="64">
        <f>D35-D37</f>
        <v>-31837.056027195104</v>
      </c>
      <c r="E39" s="64">
        <f t="shared" si="104"/>
        <v>-36946.681689892583</v>
      </c>
      <c r="F39" s="64">
        <f t="shared" si="104"/>
        <v>-65118.16023456485</v>
      </c>
      <c r="G39" s="64">
        <f t="shared" si="104"/>
        <v>-64052.244072885012</v>
      </c>
      <c r="H39" s="64">
        <f t="shared" si="104"/>
        <v>-45331.192538934192</v>
      </c>
      <c r="I39" s="64">
        <f t="shared" si="104"/>
        <v>-44390.525002175738</v>
      </c>
      <c r="J39" s="64">
        <f t="shared" si="104"/>
        <v>-43476.577596299758</v>
      </c>
      <c r="K39" s="64">
        <f t="shared" si="104"/>
        <v>-42588.548362322195</v>
      </c>
      <c r="L39" s="64">
        <f>L38*1000/4.1868/8.5</f>
        <v>-41582.678366060587</v>
      </c>
      <c r="M39" s="64">
        <f t="shared" ref="M39:AA39" si="107">M38*1000/4.1868/8.5</f>
        <v>-41007.030774895698</v>
      </c>
      <c r="N39" s="64">
        <f t="shared" si="107"/>
        <v>-40441.967130973411</v>
      </c>
      <c r="O39" s="64">
        <f t="shared" si="107"/>
        <v>-39887.292695207063</v>
      </c>
      <c r="P39" s="64">
        <f t="shared" si="107"/>
        <v>-39342.816314111187</v>
      </c>
      <c r="Q39" s="64">
        <f t="shared" si="107"/>
        <v>-38808.350353737755</v>
      </c>
      <c r="R39" s="64">
        <f t="shared" si="107"/>
        <v>-38408.988486640381</v>
      </c>
      <c r="S39" s="64">
        <f t="shared" si="107"/>
        <v>-38017.079710387719</v>
      </c>
      <c r="T39" s="64">
        <f t="shared" si="107"/>
        <v>-37632.484931671861</v>
      </c>
      <c r="U39" s="64">
        <f t="shared" si="107"/>
        <v>-37255.067653013823</v>
      </c>
      <c r="V39" s="64">
        <f t="shared" si="107"/>
        <v>-36884.693924318723</v>
      </c>
      <c r="W39" s="64">
        <f t="shared" si="107"/>
        <v>-36521.232295335387</v>
      </c>
      <c r="X39" s="64">
        <f t="shared" ref="X39:Z39" si="108">X38*1000/4.1868/8.5</f>
        <v>-36164.553769002952</v>
      </c>
      <c r="Y39" s="64">
        <f t="shared" si="108"/>
        <v>-35814.53175566822</v>
      </c>
      <c r="Z39" s="64">
        <f t="shared" si="108"/>
        <v>-35471.042028157324</v>
      </c>
      <c r="AA39" s="64">
        <f t="shared" si="107"/>
        <v>-35133.962677686111</v>
      </c>
      <c r="AB39" s="64">
        <f t="shared" ref="AB39:AL39" si="109">AB38*1000/4.1868/8.5</f>
        <v>-34775.074553342783</v>
      </c>
      <c r="AC39" s="64">
        <f t="shared" si="109"/>
        <v>-34573.035175562982</v>
      </c>
      <c r="AD39" s="64">
        <f t="shared" si="109"/>
        <v>-34372.735196388487</v>
      </c>
      <c r="AE39" s="64">
        <f t="shared" si="109"/>
        <v>-34174.157221833237</v>
      </c>
      <c r="AF39" s="64">
        <f t="shared" si="109"/>
        <v>-33977.284031851043</v>
      </c>
      <c r="AG39" s="64">
        <f t="shared" si="109"/>
        <v>-33782.098578596138</v>
      </c>
      <c r="AH39" s="64">
        <f t="shared" si="109"/>
        <v>-33588.583984701305</v>
      </c>
      <c r="AI39" s="64">
        <f t="shared" si="109"/>
        <v>-33396.723541572908</v>
      </c>
      <c r="AJ39" s="64">
        <f t="shared" si="109"/>
        <v>-33206.500707703301</v>
      </c>
      <c r="AK39" s="64">
        <f t="shared" si="109"/>
        <v>-33017.899106999874</v>
      </c>
      <c r="AL39" s="64">
        <f t="shared" si="109"/>
        <v>-32830.902527130987</v>
      </c>
    </row>
    <row r="40" spans="1:38" s="65" customFormat="1" x14ac:dyDescent="0.25">
      <c r="A40" s="60"/>
      <c r="B40" s="54" t="s">
        <v>79</v>
      </c>
      <c r="C40" s="55" t="s">
        <v>19</v>
      </c>
      <c r="D40" s="64">
        <f>498707/1.162*4.1868/1000</f>
        <v>1796.890247504303</v>
      </c>
      <c r="E40" s="64">
        <f>E41*$C$70</f>
        <v>1853.2760217104194</v>
      </c>
      <c r="F40" s="64">
        <f>F41*$C$70</f>
        <v>3073.6790742258936</v>
      </c>
      <c r="G40" s="56">
        <f>G46*3.6</f>
        <v>3471.3525384</v>
      </c>
      <c r="H40" s="56">
        <f>H46*3.6-H34</f>
        <v>2803.3208738410899</v>
      </c>
      <c r="I40" s="56">
        <f t="shared" ref="I40:AA40" si="110">I46*3.6-I34</f>
        <v>2752.4402681553047</v>
      </c>
      <c r="J40" s="56">
        <f t="shared" si="110"/>
        <v>2703.0049514692751</v>
      </c>
      <c r="K40" s="56">
        <f t="shared" si="110"/>
        <v>2654.9715459079798</v>
      </c>
      <c r="L40" s="56">
        <f t="shared" si="110"/>
        <v>2608.2980334886938</v>
      </c>
      <c r="M40" s="56">
        <f t="shared" si="110"/>
        <v>2576.7606064839524</v>
      </c>
      <c r="N40" s="56">
        <f t="shared" si="110"/>
        <v>2545.8030315774558</v>
      </c>
      <c r="O40" s="56">
        <f t="shared" si="110"/>
        <v>2515.4146397942509</v>
      </c>
      <c r="P40" s="56">
        <f t="shared" si="110"/>
        <v>2485.5849586001218</v>
      </c>
      <c r="Q40" s="56">
        <f t="shared" si="110"/>
        <v>2456.3037082822202</v>
      </c>
      <c r="R40" s="56">
        <f t="shared" si="110"/>
        <v>2434.4242703667883</v>
      </c>
      <c r="S40" s="56">
        <f t="shared" si="110"/>
        <v>2412.9531574614539</v>
      </c>
      <c r="T40" s="56">
        <f t="shared" si="110"/>
        <v>2391.882749200714</v>
      </c>
      <c r="U40" s="56">
        <f t="shared" si="110"/>
        <v>2371.2055674341418</v>
      </c>
      <c r="V40" s="56">
        <f t="shared" si="110"/>
        <v>2350.9142735722871</v>
      </c>
      <c r="W40" s="56">
        <f t="shared" si="110"/>
        <v>2331.001665982129</v>
      </c>
      <c r="X40" s="56">
        <f t="shared" si="110"/>
        <v>2311.4606774311228</v>
      </c>
      <c r="Y40" s="56">
        <f t="shared" si="110"/>
        <v>2292.2843725789503</v>
      </c>
      <c r="Z40" s="56">
        <f t="shared" si="110"/>
        <v>2273.4659455160804</v>
      </c>
      <c r="AA40" s="56">
        <f t="shared" si="110"/>
        <v>2254.9987173482723</v>
      </c>
      <c r="AB40" s="56">
        <f t="shared" ref="AB40:AL40" si="111">AB46*3.6-AB34</f>
        <v>2235.8761338261452</v>
      </c>
      <c r="AC40" s="56">
        <f t="shared" si="111"/>
        <v>2225.3466652087873</v>
      </c>
      <c r="AD40" s="56">
        <f t="shared" si="111"/>
        <v>2214.9124912776015</v>
      </c>
      <c r="AE40" s="56">
        <f t="shared" si="111"/>
        <v>2204.5726590857294</v>
      </c>
      <c r="AF40" s="56">
        <f t="shared" si="111"/>
        <v>2194.3262252157747</v>
      </c>
      <c r="AG40" s="56">
        <f t="shared" si="111"/>
        <v>2184.1722556845193</v>
      </c>
      <c r="AH40" s="56">
        <f t="shared" si="111"/>
        <v>2174.1098258485781</v>
      </c>
      <c r="AI40" s="56">
        <f t="shared" si="111"/>
        <v>2164.1380203109957</v>
      </c>
      <c r="AJ40" s="56">
        <f t="shared" si="111"/>
        <v>2154.2559328287884</v>
      </c>
      <c r="AK40" s="56">
        <f t="shared" si="111"/>
        <v>2144.4626662214037</v>
      </c>
      <c r="AL40" s="56">
        <f t="shared" si="111"/>
        <v>2134.7573322800927</v>
      </c>
    </row>
    <row r="41" spans="1:38" s="65" customFormat="1" x14ac:dyDescent="0.25">
      <c r="A41" s="60"/>
      <c r="B41" s="54"/>
      <c r="C41" s="55" t="s">
        <v>29</v>
      </c>
      <c r="D41" s="64">
        <v>118788.12699999999</v>
      </c>
      <c r="E41" s="64">
        <v>122515.656</v>
      </c>
      <c r="F41" s="64">
        <v>203193.59</v>
      </c>
      <c r="G41" s="56">
        <f>G40/$G$70</f>
        <v>218250.27500000005</v>
      </c>
      <c r="H41" s="56">
        <f t="shared" ref="H41:AA41" si="112">H40/$G$70</f>
        <v>176249.90399593874</v>
      </c>
      <c r="I41" s="56">
        <f t="shared" si="112"/>
        <v>173050.9473759328</v>
      </c>
      <c r="J41" s="56">
        <f t="shared" si="112"/>
        <v>169942.85871536389</v>
      </c>
      <c r="K41" s="56">
        <f t="shared" si="112"/>
        <v>166922.91076799377</v>
      </c>
      <c r="L41" s="56">
        <f t="shared" si="112"/>
        <v>163988.46178649671</v>
      </c>
      <c r="M41" s="56">
        <f t="shared" si="112"/>
        <v>162005.6461431885</v>
      </c>
      <c r="N41" s="56">
        <f t="shared" si="112"/>
        <v>160059.28686047785</v>
      </c>
      <c r="O41" s="56">
        <f t="shared" si="112"/>
        <v>158148.71316042112</v>
      </c>
      <c r="P41" s="56">
        <f t="shared" si="112"/>
        <v>156273.26661566258</v>
      </c>
      <c r="Q41" s="56">
        <f t="shared" si="112"/>
        <v>154432.30092187817</v>
      </c>
      <c r="R41" s="56">
        <f t="shared" si="112"/>
        <v>153056.70069428234</v>
      </c>
      <c r="S41" s="56">
        <f t="shared" si="112"/>
        <v>151706.77260593403</v>
      </c>
      <c r="T41" s="56">
        <f t="shared" si="112"/>
        <v>150382.03755053447</v>
      </c>
      <c r="U41" s="56">
        <f t="shared" si="112"/>
        <v>149082.0253631064</v>
      </c>
      <c r="V41" s="56">
        <f t="shared" si="112"/>
        <v>147806.27465312614</v>
      </c>
      <c r="W41" s="56">
        <f t="shared" si="112"/>
        <v>146554.33264077085</v>
      </c>
      <c r="X41" s="56">
        <f t="shared" si="112"/>
        <v>145325.75499622119</v>
      </c>
      <c r="Y41" s="56">
        <f t="shared" si="112"/>
        <v>144120.10568196297</v>
      </c>
      <c r="Z41" s="56">
        <f t="shared" si="112"/>
        <v>142936.95679803204</v>
      </c>
      <c r="AA41" s="56">
        <f t="shared" si="112"/>
        <v>141775.88843014752</v>
      </c>
      <c r="AB41" s="56">
        <f t="shared" ref="AB41:AL41" si="113">AB40/$G$70</f>
        <v>140573.61667403879</v>
      </c>
      <c r="AC41" s="56">
        <f t="shared" si="113"/>
        <v>139911.60974851879</v>
      </c>
      <c r="AD41" s="56">
        <f t="shared" si="113"/>
        <v>139255.59417398748</v>
      </c>
      <c r="AE41" s="56">
        <f t="shared" si="113"/>
        <v>138605.51003693521</v>
      </c>
      <c r="AF41" s="56">
        <f t="shared" si="113"/>
        <v>137961.298022987</v>
      </c>
      <c r="AG41" s="56">
        <f t="shared" si="113"/>
        <v>137322.89941091186</v>
      </c>
      <c r="AH41" s="56">
        <f t="shared" si="113"/>
        <v>136690.25606669116</v>
      </c>
      <c r="AI41" s="56">
        <f t="shared" si="113"/>
        <v>136063.31043764623</v>
      </c>
      <c r="AJ41" s="56">
        <f t="shared" si="113"/>
        <v>135442.00554662533</v>
      </c>
      <c r="AK41" s="56">
        <f t="shared" si="113"/>
        <v>134826.28498624824</v>
      </c>
      <c r="AL41" s="56">
        <f t="shared" si="113"/>
        <v>134216.09291320853</v>
      </c>
    </row>
    <row r="42" spans="1:38" s="65" customFormat="1" x14ac:dyDescent="0.25">
      <c r="A42" s="60"/>
      <c r="B42" s="54" t="s">
        <v>62</v>
      </c>
      <c r="C42" s="55" t="s">
        <v>15</v>
      </c>
      <c r="D42" s="64"/>
      <c r="E42" s="64"/>
      <c r="F42" s="64"/>
      <c r="G42" s="56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</row>
    <row r="43" spans="1:38" s="65" customFormat="1" x14ac:dyDescent="0.25">
      <c r="A43" s="60"/>
      <c r="B43" s="54"/>
      <c r="C43" s="55" t="s">
        <v>29</v>
      </c>
      <c r="D43" s="64">
        <v>0</v>
      </c>
      <c r="E43" s="64">
        <v>0</v>
      </c>
      <c r="F43" s="64">
        <v>0</v>
      </c>
      <c r="G43" s="56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64">
        <v>0</v>
      </c>
      <c r="O43" s="64">
        <v>0</v>
      </c>
      <c r="P43" s="64">
        <v>0</v>
      </c>
      <c r="Q43" s="64">
        <v>0</v>
      </c>
      <c r="R43" s="64">
        <v>0</v>
      </c>
      <c r="S43" s="64">
        <v>0</v>
      </c>
      <c r="T43" s="64">
        <v>0</v>
      </c>
      <c r="U43" s="64">
        <v>0</v>
      </c>
      <c r="V43" s="64">
        <v>0</v>
      </c>
      <c r="W43" s="64">
        <v>0</v>
      </c>
      <c r="X43" s="64">
        <v>0</v>
      </c>
      <c r="Y43" s="64">
        <v>0</v>
      </c>
      <c r="Z43" s="64">
        <v>0</v>
      </c>
      <c r="AA43" s="64">
        <v>0</v>
      </c>
      <c r="AB43" s="64">
        <v>0</v>
      </c>
      <c r="AC43" s="64">
        <v>0</v>
      </c>
      <c r="AD43" s="64">
        <v>0</v>
      </c>
      <c r="AE43" s="64">
        <v>0</v>
      </c>
      <c r="AF43" s="64">
        <v>0</v>
      </c>
      <c r="AG43" s="64">
        <v>0</v>
      </c>
      <c r="AH43" s="64">
        <v>0</v>
      </c>
      <c r="AI43" s="64">
        <v>0</v>
      </c>
      <c r="AJ43" s="64">
        <v>0</v>
      </c>
      <c r="AK43" s="64">
        <v>0</v>
      </c>
      <c r="AL43" s="64">
        <v>0</v>
      </c>
    </row>
    <row r="44" spans="1:38" s="65" customFormat="1" x14ac:dyDescent="0.25">
      <c r="A44" s="60"/>
      <c r="B44" s="54" t="s">
        <v>63</v>
      </c>
      <c r="C44" s="55" t="s">
        <v>15</v>
      </c>
      <c r="D44" s="64">
        <v>0</v>
      </c>
      <c r="E44" s="64">
        <v>0</v>
      </c>
      <c r="F44" s="64">
        <v>0</v>
      </c>
      <c r="G44" s="56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64">
        <v>0</v>
      </c>
      <c r="R44" s="64">
        <v>0</v>
      </c>
      <c r="S44" s="64">
        <v>0</v>
      </c>
      <c r="T44" s="64">
        <v>0</v>
      </c>
      <c r="U44" s="64">
        <v>0</v>
      </c>
      <c r="V44" s="64">
        <v>0</v>
      </c>
      <c r="W44" s="64">
        <v>0</v>
      </c>
      <c r="X44" s="64">
        <v>0</v>
      </c>
      <c r="Y44" s="64">
        <v>0</v>
      </c>
      <c r="Z44" s="64">
        <v>0</v>
      </c>
      <c r="AA44" s="64">
        <v>0</v>
      </c>
      <c r="AB44" s="64">
        <v>0</v>
      </c>
      <c r="AC44" s="64">
        <v>0</v>
      </c>
      <c r="AD44" s="64">
        <v>0</v>
      </c>
      <c r="AE44" s="64">
        <v>0</v>
      </c>
      <c r="AF44" s="64">
        <v>0</v>
      </c>
      <c r="AG44" s="64">
        <v>0</v>
      </c>
      <c r="AH44" s="64">
        <v>0</v>
      </c>
      <c r="AI44" s="64">
        <v>0</v>
      </c>
      <c r="AJ44" s="64">
        <v>0</v>
      </c>
      <c r="AK44" s="64">
        <v>0</v>
      </c>
      <c r="AL44" s="64">
        <v>0</v>
      </c>
    </row>
    <row r="45" spans="1:38" s="65" customFormat="1" x14ac:dyDescent="0.25">
      <c r="A45" s="60"/>
      <c r="B45" s="54"/>
      <c r="C45" s="55" t="s">
        <v>29</v>
      </c>
      <c r="D45" s="68">
        <v>0</v>
      </c>
      <c r="E45" s="68">
        <v>0</v>
      </c>
      <c r="F45" s="68">
        <v>0</v>
      </c>
      <c r="G45" s="69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  <c r="P45" s="68">
        <v>0</v>
      </c>
      <c r="Q45" s="68">
        <v>0</v>
      </c>
      <c r="R45" s="68">
        <v>0</v>
      </c>
      <c r="S45" s="68">
        <v>0</v>
      </c>
      <c r="T45" s="68">
        <v>0</v>
      </c>
      <c r="U45" s="68">
        <v>0</v>
      </c>
      <c r="V45" s="68">
        <v>0</v>
      </c>
      <c r="W45" s="68">
        <v>0</v>
      </c>
      <c r="X45" s="68">
        <v>0</v>
      </c>
      <c r="Y45" s="68">
        <v>0</v>
      </c>
      <c r="Z45" s="68">
        <v>0</v>
      </c>
      <c r="AA45" s="68">
        <v>0</v>
      </c>
      <c r="AB45" s="68">
        <v>0</v>
      </c>
      <c r="AC45" s="68">
        <v>0</v>
      </c>
      <c r="AD45" s="68">
        <v>0</v>
      </c>
      <c r="AE45" s="68">
        <v>0</v>
      </c>
      <c r="AF45" s="68">
        <v>0</v>
      </c>
      <c r="AG45" s="68">
        <v>0</v>
      </c>
      <c r="AH45" s="68">
        <v>0</v>
      </c>
      <c r="AI45" s="68">
        <v>0</v>
      </c>
      <c r="AJ45" s="68">
        <v>0</v>
      </c>
      <c r="AK45" s="68">
        <v>0</v>
      </c>
      <c r="AL45" s="68">
        <v>0</v>
      </c>
    </row>
    <row r="46" spans="1:38" s="77" customFormat="1" x14ac:dyDescent="0.25">
      <c r="A46" s="70"/>
      <c r="B46" s="71"/>
      <c r="C46" s="72" t="s">
        <v>18</v>
      </c>
      <c r="D46" s="73"/>
      <c r="E46" s="74"/>
      <c r="F46" s="74"/>
      <c r="G46" s="75">
        <f>964264.594/1000</f>
        <v>964.26459399999999</v>
      </c>
      <c r="H46" s="76">
        <f>H33*$G$47</f>
        <v>948.70024273363606</v>
      </c>
      <c r="I46" s="76">
        <f t="shared" ref="I46:AA46" si="114">I33*$G$47</f>
        <v>934.5667411542513</v>
      </c>
      <c r="J46" s="76">
        <f t="shared" si="114"/>
        <v>920.83470874146531</v>
      </c>
      <c r="K46" s="76">
        <f t="shared" si="114"/>
        <v>907.49209608554997</v>
      </c>
      <c r="L46" s="76">
        <f t="shared" si="114"/>
        <v>894.52723152463716</v>
      </c>
      <c r="M46" s="76">
        <f t="shared" si="114"/>
        <v>885.76683513443118</v>
      </c>
      <c r="N46" s="76">
        <f t="shared" si="114"/>
        <v>877.16750877151549</v>
      </c>
      <c r="O46" s="76">
        <f t="shared" si="114"/>
        <v>868.72628883173638</v>
      </c>
      <c r="P46" s="76">
        <f t="shared" si="114"/>
        <v>860.44026627781159</v>
      </c>
      <c r="Q46" s="76">
        <f t="shared" si="114"/>
        <v>852.30658563395002</v>
      </c>
      <c r="R46" s="76">
        <f t="shared" si="114"/>
        <v>846.22896399077456</v>
      </c>
      <c r="S46" s="76">
        <f t="shared" si="114"/>
        <v>840.26476596151497</v>
      </c>
      <c r="T46" s="76">
        <f t="shared" si="114"/>
        <v>834.4118747779761</v>
      </c>
      <c r="U46" s="76">
        <f t="shared" si="114"/>
        <v>828.66821317615052</v>
      </c>
      <c r="V46" s="76">
        <f t="shared" si="114"/>
        <v>823.0317426589686</v>
      </c>
      <c r="W46" s="76">
        <f t="shared" si="114"/>
        <v>817.50046277281365</v>
      </c>
      <c r="X46" s="76">
        <f t="shared" si="114"/>
        <v>812.0724103975341</v>
      </c>
      <c r="Y46" s="76">
        <f t="shared" si="114"/>
        <v>806.74565904970837</v>
      </c>
      <c r="Z46" s="76">
        <f t="shared" si="114"/>
        <v>801.51831819891117</v>
      </c>
      <c r="AA46" s="76">
        <f t="shared" si="114"/>
        <v>796.38853259674227</v>
      </c>
      <c r="AB46" s="76">
        <f t="shared" ref="AB46:AL46" si="115">AB33*$G$47</f>
        <v>791.3544816183736</v>
      </c>
      <c r="AC46" s="76">
        <f t="shared" si="115"/>
        <v>788.70740700244085</v>
      </c>
      <c r="AD46" s="76">
        <f t="shared" si="115"/>
        <v>786.08680313266711</v>
      </c>
      <c r="AE46" s="76">
        <f t="shared" si="115"/>
        <v>783.49240530159148</v>
      </c>
      <c r="AF46" s="76">
        <f t="shared" si="115"/>
        <v>780.9239514488263</v>
      </c>
      <c r="AG46" s="76">
        <f t="shared" si="115"/>
        <v>778.3811821345887</v>
      </c>
      <c r="AH46" s="76">
        <f t="shared" si="115"/>
        <v>775.86384051349387</v>
      </c>
      <c r="AI46" s="76">
        <f t="shared" si="115"/>
        <v>773.37167230860985</v>
      </c>
      <c r="AJ46" s="76">
        <f t="shared" si="115"/>
        <v>770.90442578577449</v>
      </c>
      <c r="AK46" s="76">
        <f t="shared" si="115"/>
        <v>768.46185172816763</v>
      </c>
      <c r="AL46" s="76">
        <f t="shared" si="115"/>
        <v>766.04370341113679</v>
      </c>
    </row>
    <row r="47" spans="1:38" s="65" customFormat="1" x14ac:dyDescent="0.25">
      <c r="A47" s="60"/>
      <c r="B47" s="61"/>
      <c r="C47" s="62"/>
      <c r="D47" s="68"/>
      <c r="E47" s="78"/>
      <c r="F47" s="78"/>
      <c r="G47" s="78">
        <f>G46/G33</f>
        <v>2.4552817624191605</v>
      </c>
      <c r="H47" s="79">
        <f>H40*17.99%-H50</f>
        <v>501.87298075956755</v>
      </c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</row>
    <row r="48" spans="1:38" s="65" customFormat="1" x14ac:dyDescent="0.25">
      <c r="A48" s="60"/>
      <c r="B48" s="71" t="s">
        <v>25</v>
      </c>
      <c r="C48" s="62"/>
      <c r="D48" s="68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</row>
    <row r="49" spans="1:38" s="65" customFormat="1" x14ac:dyDescent="0.25">
      <c r="A49" s="60"/>
      <c r="B49" s="54" t="s">
        <v>22</v>
      </c>
      <c r="C49" s="55" t="s">
        <v>15</v>
      </c>
      <c r="D49" s="56">
        <f>(622/1.162)*4.1868/1000</f>
        <v>2.2411270223752155</v>
      </c>
      <c r="E49" s="56">
        <f>D49</f>
        <v>2.2411270223752155</v>
      </c>
      <c r="F49" s="56">
        <f>E49</f>
        <v>2.2411270223752155</v>
      </c>
      <c r="G49" s="56">
        <v>0</v>
      </c>
      <c r="H49" s="56">
        <v>2.2000000000000002</v>
      </c>
      <c r="I49" s="56">
        <f t="shared" ref="I49:W49" si="116">H49</f>
        <v>2.2000000000000002</v>
      </c>
      <c r="J49" s="56">
        <f t="shared" si="116"/>
        <v>2.2000000000000002</v>
      </c>
      <c r="K49" s="56">
        <f t="shared" si="116"/>
        <v>2.2000000000000002</v>
      </c>
      <c r="L49" s="56">
        <f t="shared" si="116"/>
        <v>2.2000000000000002</v>
      </c>
      <c r="M49" s="56">
        <f t="shared" si="116"/>
        <v>2.2000000000000002</v>
      </c>
      <c r="N49" s="56">
        <f t="shared" si="116"/>
        <v>2.2000000000000002</v>
      </c>
      <c r="O49" s="56">
        <f t="shared" si="116"/>
        <v>2.2000000000000002</v>
      </c>
      <c r="P49" s="56">
        <f t="shared" si="116"/>
        <v>2.2000000000000002</v>
      </c>
      <c r="Q49" s="56">
        <f t="shared" si="116"/>
        <v>2.2000000000000002</v>
      </c>
      <c r="R49" s="56">
        <f t="shared" si="116"/>
        <v>2.2000000000000002</v>
      </c>
      <c r="S49" s="56">
        <f t="shared" si="116"/>
        <v>2.2000000000000002</v>
      </c>
      <c r="T49" s="56">
        <f t="shared" si="116"/>
        <v>2.2000000000000002</v>
      </c>
      <c r="U49" s="56">
        <f t="shared" si="116"/>
        <v>2.2000000000000002</v>
      </c>
      <c r="V49" s="56">
        <f t="shared" si="116"/>
        <v>2.2000000000000002</v>
      </c>
      <c r="W49" s="56">
        <f t="shared" si="116"/>
        <v>2.2000000000000002</v>
      </c>
      <c r="X49" s="56">
        <f t="shared" ref="X49" si="117">W49</f>
        <v>2.2000000000000002</v>
      </c>
      <c r="Y49" s="56">
        <f t="shared" ref="Y49" si="118">X49</f>
        <v>2.2000000000000002</v>
      </c>
      <c r="Z49" s="56">
        <f t="shared" ref="Z49" si="119">Y49</f>
        <v>2.2000000000000002</v>
      </c>
      <c r="AA49" s="56">
        <f t="shared" ref="AA49" si="120">Z49</f>
        <v>2.2000000000000002</v>
      </c>
      <c r="AB49" s="56">
        <f t="shared" ref="AB49" si="121">AA49</f>
        <v>2.2000000000000002</v>
      </c>
      <c r="AC49" s="56">
        <f t="shared" ref="AC49" si="122">AB49</f>
        <v>2.2000000000000002</v>
      </c>
      <c r="AD49" s="56">
        <f t="shared" ref="AD49" si="123">AC49</f>
        <v>2.2000000000000002</v>
      </c>
      <c r="AE49" s="56">
        <f t="shared" ref="AE49" si="124">AD49</f>
        <v>2.2000000000000002</v>
      </c>
      <c r="AF49" s="56">
        <f t="shared" ref="AF49" si="125">AE49</f>
        <v>2.2000000000000002</v>
      </c>
      <c r="AG49" s="56">
        <f t="shared" ref="AG49" si="126">AF49</f>
        <v>2.2000000000000002</v>
      </c>
      <c r="AH49" s="56">
        <f t="shared" ref="AH49" si="127">AG49</f>
        <v>2.2000000000000002</v>
      </c>
      <c r="AI49" s="56">
        <f t="shared" ref="AI49" si="128">AH49</f>
        <v>2.2000000000000002</v>
      </c>
      <c r="AJ49" s="56">
        <f t="shared" ref="AJ49" si="129">AI49</f>
        <v>2.2000000000000002</v>
      </c>
      <c r="AK49" s="56">
        <f t="shared" ref="AK49" si="130">AJ49</f>
        <v>2.2000000000000002</v>
      </c>
      <c r="AL49" s="56">
        <f t="shared" ref="AL49" si="131">AK49</f>
        <v>2.2000000000000002</v>
      </c>
    </row>
    <row r="50" spans="1:38" x14ac:dyDescent="0.25">
      <c r="A50" s="17"/>
      <c r="B50" s="13" t="s">
        <v>30</v>
      </c>
      <c r="C50" s="3" t="s">
        <v>15</v>
      </c>
      <c r="D50" s="14">
        <f>D49/0.96</f>
        <v>2.3345073149741831</v>
      </c>
      <c r="E50" s="14">
        <f>E49/0.96</f>
        <v>2.3345073149741831</v>
      </c>
      <c r="F50" s="14">
        <f t="shared" ref="F50:G50" si="132">F49/0.96</f>
        <v>2.3345073149741831</v>
      </c>
      <c r="G50" s="14">
        <f t="shared" si="132"/>
        <v>0</v>
      </c>
      <c r="H50" s="14">
        <f>H49/0.9</f>
        <v>2.4444444444444446</v>
      </c>
      <c r="I50" s="14">
        <f>I49/0.9</f>
        <v>2.4444444444444446</v>
      </c>
      <c r="J50" s="14">
        <f t="shared" ref="J50:AA50" si="133">J49/0.9</f>
        <v>2.4444444444444446</v>
      </c>
      <c r="K50" s="14">
        <f t="shared" si="133"/>
        <v>2.4444444444444446</v>
      </c>
      <c r="L50" s="14">
        <f t="shared" si="133"/>
        <v>2.4444444444444446</v>
      </c>
      <c r="M50" s="14">
        <f t="shared" si="133"/>
        <v>2.4444444444444446</v>
      </c>
      <c r="N50" s="14">
        <f t="shared" si="133"/>
        <v>2.4444444444444446</v>
      </c>
      <c r="O50" s="14">
        <f t="shared" si="133"/>
        <v>2.4444444444444446</v>
      </c>
      <c r="P50" s="14">
        <f t="shared" si="133"/>
        <v>2.4444444444444446</v>
      </c>
      <c r="Q50" s="14">
        <f t="shared" si="133"/>
        <v>2.4444444444444446</v>
      </c>
      <c r="R50" s="14">
        <f t="shared" si="133"/>
        <v>2.4444444444444446</v>
      </c>
      <c r="S50" s="14">
        <f t="shared" si="133"/>
        <v>2.4444444444444446</v>
      </c>
      <c r="T50" s="14">
        <f t="shared" si="133"/>
        <v>2.4444444444444446</v>
      </c>
      <c r="U50" s="14">
        <f t="shared" si="133"/>
        <v>2.4444444444444446</v>
      </c>
      <c r="V50" s="14">
        <f t="shared" si="133"/>
        <v>2.4444444444444446</v>
      </c>
      <c r="W50" s="14">
        <f t="shared" si="133"/>
        <v>2.4444444444444446</v>
      </c>
      <c r="X50" s="14">
        <f t="shared" si="133"/>
        <v>2.4444444444444446</v>
      </c>
      <c r="Y50" s="14">
        <f t="shared" si="133"/>
        <v>2.4444444444444446</v>
      </c>
      <c r="Z50" s="14">
        <f t="shared" si="133"/>
        <v>2.4444444444444446</v>
      </c>
      <c r="AA50" s="14">
        <f t="shared" si="133"/>
        <v>2.4444444444444446</v>
      </c>
      <c r="AB50" s="14">
        <f t="shared" ref="AB50:AL50" si="134">AB49/0.9</f>
        <v>2.4444444444444446</v>
      </c>
      <c r="AC50" s="14">
        <f t="shared" si="134"/>
        <v>2.4444444444444446</v>
      </c>
      <c r="AD50" s="14">
        <f t="shared" si="134"/>
        <v>2.4444444444444446</v>
      </c>
      <c r="AE50" s="14">
        <f t="shared" si="134"/>
        <v>2.4444444444444446</v>
      </c>
      <c r="AF50" s="14">
        <f t="shared" si="134"/>
        <v>2.4444444444444446</v>
      </c>
      <c r="AG50" s="14">
        <f t="shared" si="134"/>
        <v>2.4444444444444446</v>
      </c>
      <c r="AH50" s="14">
        <f t="shared" si="134"/>
        <v>2.4444444444444446</v>
      </c>
      <c r="AI50" s="14">
        <f t="shared" si="134"/>
        <v>2.4444444444444446</v>
      </c>
      <c r="AJ50" s="14">
        <f t="shared" si="134"/>
        <v>2.4444444444444446</v>
      </c>
      <c r="AK50" s="14">
        <f t="shared" si="134"/>
        <v>2.4444444444444446</v>
      </c>
      <c r="AL50" s="14">
        <f t="shared" si="134"/>
        <v>2.4444444444444446</v>
      </c>
    </row>
    <row r="51" spans="1:38" s="15" customFormat="1" ht="30" x14ac:dyDescent="0.25">
      <c r="A51" s="12"/>
      <c r="B51" s="13" t="s">
        <v>59</v>
      </c>
      <c r="C51" s="3" t="s">
        <v>15</v>
      </c>
      <c r="D51" s="14">
        <f t="shared" ref="D51:AA51" si="135">D50-D53</f>
        <v>2.3345073149741831</v>
      </c>
      <c r="E51" s="14">
        <v>0</v>
      </c>
      <c r="F51" s="14">
        <v>0</v>
      </c>
      <c r="G51" s="14">
        <f t="shared" si="135"/>
        <v>0</v>
      </c>
      <c r="H51" s="14">
        <f t="shared" si="135"/>
        <v>2.4444444444444446</v>
      </c>
      <c r="I51" s="14">
        <f t="shared" si="135"/>
        <v>2.4444444444444446</v>
      </c>
      <c r="J51" s="14">
        <f t="shared" si="135"/>
        <v>2.4444444444444446</v>
      </c>
      <c r="K51" s="14">
        <f t="shared" si="135"/>
        <v>2.4444444444444446</v>
      </c>
      <c r="L51" s="14">
        <f t="shared" si="135"/>
        <v>2.4444444444444446</v>
      </c>
      <c r="M51" s="14">
        <f t="shared" si="135"/>
        <v>2.4444444444444446</v>
      </c>
      <c r="N51" s="14">
        <f t="shared" si="135"/>
        <v>2.4444444444444446</v>
      </c>
      <c r="O51" s="14">
        <f t="shared" si="135"/>
        <v>2.4444444444444446</v>
      </c>
      <c r="P51" s="14">
        <f t="shared" si="135"/>
        <v>2.4444444444444446</v>
      </c>
      <c r="Q51" s="14">
        <f t="shared" si="135"/>
        <v>2.4444444444444446</v>
      </c>
      <c r="R51" s="14">
        <f t="shared" si="135"/>
        <v>2.4444444444444446</v>
      </c>
      <c r="S51" s="14">
        <f t="shared" si="135"/>
        <v>2.4444444444444446</v>
      </c>
      <c r="T51" s="14">
        <f t="shared" si="135"/>
        <v>2.4444444444444446</v>
      </c>
      <c r="U51" s="14">
        <f t="shared" si="135"/>
        <v>2.4444444444444446</v>
      </c>
      <c r="V51" s="14">
        <f t="shared" si="135"/>
        <v>2.4444444444444446</v>
      </c>
      <c r="W51" s="14">
        <f t="shared" si="135"/>
        <v>2.4444444444444446</v>
      </c>
      <c r="X51" s="14">
        <f t="shared" ref="X51:Z51" si="136">X50-X53</f>
        <v>2.4444444444444446</v>
      </c>
      <c r="Y51" s="14">
        <f t="shared" si="136"/>
        <v>2.4444444444444446</v>
      </c>
      <c r="Z51" s="14">
        <f t="shared" si="136"/>
        <v>2.4444444444444446</v>
      </c>
      <c r="AA51" s="14">
        <f t="shared" si="135"/>
        <v>2.4444444444444446</v>
      </c>
      <c r="AB51" s="14">
        <f t="shared" ref="AB51:AL51" si="137">AB50-AB53</f>
        <v>2.4444444444444446</v>
      </c>
      <c r="AC51" s="14">
        <f t="shared" si="137"/>
        <v>2.4444444444444446</v>
      </c>
      <c r="AD51" s="14">
        <f t="shared" si="137"/>
        <v>2.4444444444444446</v>
      </c>
      <c r="AE51" s="14">
        <f t="shared" si="137"/>
        <v>2.4444444444444446</v>
      </c>
      <c r="AF51" s="14">
        <f t="shared" si="137"/>
        <v>2.4444444444444446</v>
      </c>
      <c r="AG51" s="14">
        <f t="shared" si="137"/>
        <v>2.4444444444444446</v>
      </c>
      <c r="AH51" s="14">
        <f t="shared" si="137"/>
        <v>2.4444444444444446</v>
      </c>
      <c r="AI51" s="14">
        <f t="shared" si="137"/>
        <v>2.4444444444444446</v>
      </c>
      <c r="AJ51" s="14">
        <f t="shared" si="137"/>
        <v>2.4444444444444446</v>
      </c>
      <c r="AK51" s="14">
        <f t="shared" si="137"/>
        <v>2.4444444444444446</v>
      </c>
      <c r="AL51" s="14">
        <f t="shared" si="137"/>
        <v>2.4444444444444446</v>
      </c>
    </row>
    <row r="52" spans="1:38" s="15" customFormat="1" x14ac:dyDescent="0.25">
      <c r="A52" s="12"/>
      <c r="B52" s="13"/>
      <c r="C52" s="3" t="s">
        <v>20</v>
      </c>
      <c r="D52" s="14">
        <f>D51*1000/4.1868/8.24</f>
        <v>67.668385051997177</v>
      </c>
      <c r="E52" s="14">
        <f t="shared" ref="E52:AA52" si="138">E51*1000/4.1868/8.24</f>
        <v>0</v>
      </c>
      <c r="F52" s="14">
        <f t="shared" si="138"/>
        <v>0</v>
      </c>
      <c r="G52" s="14">
        <f t="shared" si="138"/>
        <v>0</v>
      </c>
      <c r="H52" s="14">
        <f t="shared" si="138"/>
        <v>70.855039452601289</v>
      </c>
      <c r="I52" s="14">
        <f t="shared" si="138"/>
        <v>70.855039452601289</v>
      </c>
      <c r="J52" s="14">
        <f t="shared" si="138"/>
        <v>70.855039452601289</v>
      </c>
      <c r="K52" s="14">
        <f t="shared" si="138"/>
        <v>70.855039452601289</v>
      </c>
      <c r="L52" s="14">
        <f t="shared" si="138"/>
        <v>70.855039452601289</v>
      </c>
      <c r="M52" s="14">
        <f t="shared" si="138"/>
        <v>70.855039452601289</v>
      </c>
      <c r="N52" s="14">
        <f t="shared" si="138"/>
        <v>70.855039452601289</v>
      </c>
      <c r="O52" s="14">
        <f t="shared" si="138"/>
        <v>70.855039452601289</v>
      </c>
      <c r="P52" s="14">
        <f t="shared" si="138"/>
        <v>70.855039452601289</v>
      </c>
      <c r="Q52" s="14">
        <f t="shared" si="138"/>
        <v>70.855039452601289</v>
      </c>
      <c r="R52" s="14">
        <f t="shared" si="138"/>
        <v>70.855039452601289</v>
      </c>
      <c r="S52" s="14">
        <f t="shared" si="138"/>
        <v>70.855039452601289</v>
      </c>
      <c r="T52" s="14">
        <f t="shared" si="138"/>
        <v>70.855039452601289</v>
      </c>
      <c r="U52" s="14">
        <f t="shared" si="138"/>
        <v>70.855039452601289</v>
      </c>
      <c r="V52" s="14">
        <f t="shared" si="138"/>
        <v>70.855039452601289</v>
      </c>
      <c r="W52" s="14">
        <f t="shared" si="138"/>
        <v>70.855039452601289</v>
      </c>
      <c r="X52" s="14">
        <f t="shared" ref="X52:Z52" si="139">X51*1000/4.1868/8.24</f>
        <v>70.855039452601289</v>
      </c>
      <c r="Y52" s="14">
        <f t="shared" si="139"/>
        <v>70.855039452601289</v>
      </c>
      <c r="Z52" s="14">
        <f t="shared" si="139"/>
        <v>70.855039452601289</v>
      </c>
      <c r="AA52" s="14">
        <f t="shared" si="138"/>
        <v>70.855039452601289</v>
      </c>
      <c r="AB52" s="14">
        <f t="shared" ref="AB52:AL52" si="140">AB51*1000/4.1868/8.24</f>
        <v>70.855039452601289</v>
      </c>
      <c r="AC52" s="14">
        <f t="shared" si="140"/>
        <v>70.855039452601289</v>
      </c>
      <c r="AD52" s="14">
        <f t="shared" si="140"/>
        <v>70.855039452601289</v>
      </c>
      <c r="AE52" s="14">
        <f t="shared" si="140"/>
        <v>70.855039452601289</v>
      </c>
      <c r="AF52" s="14">
        <f t="shared" si="140"/>
        <v>70.855039452601289</v>
      </c>
      <c r="AG52" s="14">
        <f t="shared" si="140"/>
        <v>70.855039452601289</v>
      </c>
      <c r="AH52" s="14">
        <f t="shared" si="140"/>
        <v>70.855039452601289</v>
      </c>
      <c r="AI52" s="14">
        <f t="shared" si="140"/>
        <v>70.855039452601289</v>
      </c>
      <c r="AJ52" s="14">
        <f t="shared" si="140"/>
        <v>70.855039452601289</v>
      </c>
      <c r="AK52" s="14">
        <f t="shared" si="140"/>
        <v>70.855039452601289</v>
      </c>
      <c r="AL52" s="14">
        <f t="shared" si="140"/>
        <v>70.855039452601289</v>
      </c>
    </row>
    <row r="53" spans="1:38" s="15" customFormat="1" ht="30" x14ac:dyDescent="0.25">
      <c r="A53" s="12"/>
      <c r="B53" s="13" t="s">
        <v>78</v>
      </c>
      <c r="C53" s="3" t="s">
        <v>19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0</v>
      </c>
      <c r="AK53" s="14">
        <v>0</v>
      </c>
      <c r="AL53" s="14">
        <v>0</v>
      </c>
    </row>
    <row r="54" spans="1:38" s="15" customFormat="1" x14ac:dyDescent="0.25">
      <c r="A54" s="12"/>
      <c r="B54" s="13"/>
      <c r="C54" s="3" t="s">
        <v>29</v>
      </c>
      <c r="D54" s="14">
        <f>D53*1000/4.1868/1.8</f>
        <v>0</v>
      </c>
      <c r="E54" s="14">
        <f t="shared" ref="E54:AA54" si="141">E53*1000/4.1868/1.8</f>
        <v>0</v>
      </c>
      <c r="F54" s="14">
        <f t="shared" si="141"/>
        <v>0</v>
      </c>
      <c r="G54" s="14">
        <f t="shared" si="141"/>
        <v>0</v>
      </c>
      <c r="H54" s="14">
        <f t="shared" si="141"/>
        <v>0</v>
      </c>
      <c r="I54" s="14">
        <f t="shared" si="141"/>
        <v>0</v>
      </c>
      <c r="J54" s="14">
        <f t="shared" si="141"/>
        <v>0</v>
      </c>
      <c r="K54" s="14">
        <f t="shared" si="141"/>
        <v>0</v>
      </c>
      <c r="L54" s="14">
        <f t="shared" si="141"/>
        <v>0</v>
      </c>
      <c r="M54" s="14">
        <f t="shared" si="141"/>
        <v>0</v>
      </c>
      <c r="N54" s="14">
        <f t="shared" si="141"/>
        <v>0</v>
      </c>
      <c r="O54" s="14">
        <f t="shared" si="141"/>
        <v>0</v>
      </c>
      <c r="P54" s="14">
        <f t="shared" si="141"/>
        <v>0</v>
      </c>
      <c r="Q54" s="14">
        <f t="shared" si="141"/>
        <v>0</v>
      </c>
      <c r="R54" s="14">
        <f t="shared" si="141"/>
        <v>0</v>
      </c>
      <c r="S54" s="14">
        <f t="shared" si="141"/>
        <v>0</v>
      </c>
      <c r="T54" s="14">
        <f t="shared" si="141"/>
        <v>0</v>
      </c>
      <c r="U54" s="14">
        <f t="shared" si="141"/>
        <v>0</v>
      </c>
      <c r="V54" s="14">
        <f t="shared" si="141"/>
        <v>0</v>
      </c>
      <c r="W54" s="14">
        <f t="shared" si="141"/>
        <v>0</v>
      </c>
      <c r="X54" s="14">
        <f t="shared" si="141"/>
        <v>0</v>
      </c>
      <c r="Y54" s="14">
        <f t="shared" si="141"/>
        <v>0</v>
      </c>
      <c r="Z54" s="14">
        <f t="shared" si="141"/>
        <v>0</v>
      </c>
      <c r="AA54" s="14">
        <f t="shared" si="141"/>
        <v>0</v>
      </c>
      <c r="AB54" s="14">
        <f t="shared" ref="AB54:AL54" si="142">AB53*1000/4.1868/1.8</f>
        <v>0</v>
      </c>
      <c r="AC54" s="14">
        <f t="shared" si="142"/>
        <v>0</v>
      </c>
      <c r="AD54" s="14">
        <f t="shared" si="142"/>
        <v>0</v>
      </c>
      <c r="AE54" s="14">
        <f t="shared" si="142"/>
        <v>0</v>
      </c>
      <c r="AF54" s="14">
        <f t="shared" si="142"/>
        <v>0</v>
      </c>
      <c r="AG54" s="14">
        <f t="shared" si="142"/>
        <v>0</v>
      </c>
      <c r="AH54" s="14">
        <f t="shared" si="142"/>
        <v>0</v>
      </c>
      <c r="AI54" s="14">
        <f t="shared" si="142"/>
        <v>0</v>
      </c>
      <c r="AJ54" s="14">
        <f t="shared" si="142"/>
        <v>0</v>
      </c>
      <c r="AK54" s="14">
        <f t="shared" si="142"/>
        <v>0</v>
      </c>
      <c r="AL54" s="14">
        <f t="shared" si="142"/>
        <v>0</v>
      </c>
    </row>
    <row r="55" spans="1:38" x14ac:dyDescent="0.25">
      <c r="A55" s="17"/>
      <c r="B55" s="18"/>
      <c r="C55" s="19"/>
      <c r="D55" s="4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</row>
    <row r="56" spans="1:38" x14ac:dyDescent="0.25">
      <c r="A56" s="17"/>
      <c r="B56" s="18"/>
      <c r="C56" s="19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</row>
    <row r="57" spans="1:38" s="15" customFormat="1" x14ac:dyDescent="0.25">
      <c r="A57" s="12" t="s">
        <v>34</v>
      </c>
      <c r="B57" s="13" t="s">
        <v>84</v>
      </c>
      <c r="C57" s="3" t="s">
        <v>29</v>
      </c>
      <c r="D57" s="14">
        <f>D16*D62</f>
        <v>266.37962747405163</v>
      </c>
      <c r="E57" s="14">
        <f t="shared" ref="E57:F57" si="143">E16*E62</f>
        <v>0</v>
      </c>
      <c r="F57" s="14">
        <f t="shared" si="143"/>
        <v>0</v>
      </c>
      <c r="G57" s="14">
        <v>0</v>
      </c>
      <c r="H57" s="14">
        <f t="shared" ref="H57:AA57" si="144">H16*H62</f>
        <v>34470.333333333336</v>
      </c>
      <c r="I57" s="14">
        <f t="shared" si="144"/>
        <v>34470.333333333336</v>
      </c>
      <c r="J57" s="14">
        <f t="shared" si="144"/>
        <v>34470.333333333336</v>
      </c>
      <c r="K57" s="14">
        <f t="shared" si="144"/>
        <v>34470.333333333336</v>
      </c>
      <c r="L57" s="14">
        <f t="shared" si="144"/>
        <v>34470.333333333336</v>
      </c>
      <c r="M57" s="14">
        <f t="shared" si="144"/>
        <v>34470.333333333336</v>
      </c>
      <c r="N57" s="14">
        <f t="shared" si="144"/>
        <v>34470.333333333336</v>
      </c>
      <c r="O57" s="14">
        <f t="shared" si="144"/>
        <v>34470.333333333336</v>
      </c>
      <c r="P57" s="14">
        <f t="shared" si="144"/>
        <v>34470.333333333336</v>
      </c>
      <c r="Q57" s="14">
        <f t="shared" si="144"/>
        <v>34470.333333333336</v>
      </c>
      <c r="R57" s="14">
        <f t="shared" si="144"/>
        <v>34470.333333333336</v>
      </c>
      <c r="S57" s="14">
        <f t="shared" si="144"/>
        <v>34470.333333333336</v>
      </c>
      <c r="T57" s="14">
        <f t="shared" si="144"/>
        <v>34470.333333333336</v>
      </c>
      <c r="U57" s="14">
        <f t="shared" si="144"/>
        <v>34470.333333333336</v>
      </c>
      <c r="V57" s="14">
        <f t="shared" si="144"/>
        <v>34470.333333333336</v>
      </c>
      <c r="W57" s="14">
        <f t="shared" si="144"/>
        <v>34470.333333333336</v>
      </c>
      <c r="X57" s="14">
        <f t="shared" ref="X57:Z57" si="145">X16*X62</f>
        <v>34470.333333333336</v>
      </c>
      <c r="Y57" s="14">
        <f t="shared" si="145"/>
        <v>34470.333333333336</v>
      </c>
      <c r="Z57" s="14">
        <f t="shared" si="145"/>
        <v>34470.333333333336</v>
      </c>
      <c r="AA57" s="14">
        <f t="shared" si="144"/>
        <v>34470.333333333336</v>
      </c>
      <c r="AB57" s="14">
        <f t="shared" ref="AB57:AL57" si="146">AB16*AB62</f>
        <v>35141.87777777778</v>
      </c>
      <c r="AC57" s="14">
        <f t="shared" si="146"/>
        <v>35815.422222222223</v>
      </c>
      <c r="AD57" s="14">
        <f t="shared" si="146"/>
        <v>36490.966666666667</v>
      </c>
      <c r="AE57" s="14">
        <f t="shared" si="146"/>
        <v>37168.511111111111</v>
      </c>
      <c r="AF57" s="14">
        <f t="shared" si="146"/>
        <v>37848.055555555555</v>
      </c>
      <c r="AG57" s="14">
        <f t="shared" si="146"/>
        <v>38529.599999999999</v>
      </c>
      <c r="AH57" s="14">
        <f t="shared" si="146"/>
        <v>39213.14444444445</v>
      </c>
      <c r="AI57" s="14">
        <f t="shared" si="146"/>
        <v>39898.688888888886</v>
      </c>
      <c r="AJ57" s="14">
        <f t="shared" si="146"/>
        <v>40586.23333333333</v>
      </c>
      <c r="AK57" s="14">
        <f t="shared" si="146"/>
        <v>41275.777777777774</v>
      </c>
      <c r="AL57" s="14">
        <f t="shared" si="146"/>
        <v>41967.322222222218</v>
      </c>
    </row>
    <row r="58" spans="1:38" ht="30" hidden="1" x14ac:dyDescent="0.25">
      <c r="A58" s="17"/>
      <c r="B58" s="18" t="s">
        <v>64</v>
      </c>
      <c r="C58" s="19" t="s">
        <v>23</v>
      </c>
      <c r="D58" s="20">
        <f t="shared" ref="D58:AA58" si="147">D21*D62</f>
        <v>-62626.109607834529</v>
      </c>
      <c r="E58" s="20">
        <f t="shared" si="147"/>
        <v>-72694.956018164492</v>
      </c>
      <c r="F58" s="20">
        <f t="shared" si="147"/>
        <v>-128223.99954410501</v>
      </c>
      <c r="G58" s="20">
        <f t="shared" si="147"/>
        <v>-126253.92889540204</v>
      </c>
      <c r="H58" s="20">
        <f t="shared" si="147"/>
        <v>-89988.563805476588</v>
      </c>
      <c r="I58" s="20">
        <f t="shared" si="147"/>
        <v>-88134.405937643358</v>
      </c>
      <c r="J58" s="20">
        <f t="shared" si="147"/>
        <v>-86332.916349483086</v>
      </c>
      <c r="K58" s="20">
        <f t="shared" si="147"/>
        <v>-84582.514292748514</v>
      </c>
      <c r="L58" s="20">
        <f t="shared" si="147"/>
        <v>-82881.668575500938</v>
      </c>
      <c r="M58" s="20">
        <f t="shared" si="147"/>
        <v>-81732.402217054405</v>
      </c>
      <c r="N58" s="20">
        <f t="shared" si="147"/>
        <v>-80604.266450817755</v>
      </c>
      <c r="O58" s="20">
        <f t="shared" si="147"/>
        <v>-79496.872484959953</v>
      </c>
      <c r="P58" s="20">
        <f t="shared" si="147"/>
        <v>-78409.838686215269</v>
      </c>
      <c r="Q58" s="20">
        <f t="shared" si="147"/>
        <v>-77342.790447988446</v>
      </c>
      <c r="R58" s="20">
        <f t="shared" si="147"/>
        <v>-76545.474232745342</v>
      </c>
      <c r="S58" s="20">
        <f t="shared" si="147"/>
        <v>-75763.037931369225</v>
      </c>
      <c r="T58" s="20">
        <f t="shared" si="147"/>
        <v>-74995.203847467521</v>
      </c>
      <c r="U58" s="20">
        <f t="shared" si="147"/>
        <v>-74241.699467156679</v>
      </c>
      <c r="V58" s="20">
        <f t="shared" si="147"/>
        <v>-73502.257362343371</v>
      </c>
      <c r="W58" s="20">
        <f t="shared" si="147"/>
        <v>-72776.61509581111</v>
      </c>
      <c r="X58" s="20">
        <f t="shared" ref="X58:Z58" si="148">X21*X62</f>
        <v>-72064.515128078026</v>
      </c>
      <c r="Y58" s="20">
        <f t="shared" si="148"/>
        <v>-71365.704725992808</v>
      </c>
      <c r="Z58" s="20">
        <f t="shared" si="148"/>
        <v>-70679.935873036418</v>
      </c>
      <c r="AA58" s="20">
        <f t="shared" si="147"/>
        <v>-70006.965181298423</v>
      </c>
      <c r="AB58" s="20">
        <f t="shared" ref="AB58:AL58" si="149">AB21*AB62</f>
        <v>-70525.577758839951</v>
      </c>
      <c r="AC58" s="20">
        <f t="shared" si="149"/>
        <v>-71342.954754712089</v>
      </c>
      <c r="AD58" s="20">
        <f t="shared" si="149"/>
        <v>-72149.609847595551</v>
      </c>
      <c r="AE58" s="20">
        <f t="shared" si="149"/>
        <v>-72945.691538876228</v>
      </c>
      <c r="AF58" s="20">
        <f t="shared" si="149"/>
        <v>-73731.346232102558</v>
      </c>
      <c r="AG58" s="20">
        <f t="shared" si="149"/>
        <v>-74506.718260092093</v>
      </c>
      <c r="AH58" s="20">
        <f t="shared" si="149"/>
        <v>-75271.949911706091</v>
      </c>
      <c r="AI58" s="20">
        <f t="shared" si="149"/>
        <v>-76027.181458294843</v>
      </c>
      <c r="AJ58" s="20">
        <f t="shared" si="149"/>
        <v>-76772.551179819449</v>
      </c>
      <c r="AK58" s="20">
        <f t="shared" si="149"/>
        <v>-77508.195390652167</v>
      </c>
      <c r="AL58" s="20">
        <f t="shared" si="149"/>
        <v>-78234.248465060431</v>
      </c>
    </row>
    <row r="59" spans="1:38" hidden="1" x14ac:dyDescent="0.25">
      <c r="A59" s="17"/>
      <c r="B59" s="18" t="s">
        <v>65</v>
      </c>
      <c r="C59" s="19" t="s">
        <v>23</v>
      </c>
      <c r="D59" s="20">
        <f t="shared" ref="D59:AA59" si="150">D54*D63</f>
        <v>0</v>
      </c>
      <c r="E59" s="20" t="e">
        <f>#REF!*E63</f>
        <v>#REF!</v>
      </c>
      <c r="F59" s="20">
        <f t="shared" si="150"/>
        <v>0</v>
      </c>
      <c r="G59" s="20">
        <f t="shared" si="150"/>
        <v>0</v>
      </c>
      <c r="H59" s="20">
        <f t="shared" si="150"/>
        <v>0</v>
      </c>
      <c r="I59" s="20">
        <f t="shared" si="150"/>
        <v>0</v>
      </c>
      <c r="J59" s="20">
        <f t="shared" si="150"/>
        <v>0</v>
      </c>
      <c r="K59" s="20">
        <f t="shared" si="150"/>
        <v>0</v>
      </c>
      <c r="L59" s="20">
        <f t="shared" si="150"/>
        <v>0</v>
      </c>
      <c r="M59" s="20">
        <f t="shared" si="150"/>
        <v>0</v>
      </c>
      <c r="N59" s="20">
        <f t="shared" si="150"/>
        <v>0</v>
      </c>
      <c r="O59" s="20">
        <f t="shared" si="150"/>
        <v>0</v>
      </c>
      <c r="P59" s="20">
        <f t="shared" si="150"/>
        <v>0</v>
      </c>
      <c r="Q59" s="20">
        <f t="shared" si="150"/>
        <v>0</v>
      </c>
      <c r="R59" s="20">
        <f t="shared" si="150"/>
        <v>0</v>
      </c>
      <c r="S59" s="20">
        <f t="shared" si="150"/>
        <v>0</v>
      </c>
      <c r="T59" s="20">
        <f t="shared" si="150"/>
        <v>0</v>
      </c>
      <c r="U59" s="20">
        <f t="shared" si="150"/>
        <v>0</v>
      </c>
      <c r="V59" s="20">
        <f t="shared" si="150"/>
        <v>0</v>
      </c>
      <c r="W59" s="20">
        <f t="shared" si="150"/>
        <v>0</v>
      </c>
      <c r="X59" s="20">
        <f t="shared" ref="X59:Z59" si="151">X54*X63</f>
        <v>0</v>
      </c>
      <c r="Y59" s="20">
        <f t="shared" si="151"/>
        <v>0</v>
      </c>
      <c r="Z59" s="20">
        <f t="shared" si="151"/>
        <v>0</v>
      </c>
      <c r="AA59" s="20">
        <f t="shared" si="150"/>
        <v>0</v>
      </c>
      <c r="AB59" s="20">
        <f t="shared" ref="AB59:AL59" si="152">AB54*AB63</f>
        <v>0</v>
      </c>
      <c r="AC59" s="20">
        <f t="shared" si="152"/>
        <v>0</v>
      </c>
      <c r="AD59" s="20">
        <f t="shared" si="152"/>
        <v>0</v>
      </c>
      <c r="AE59" s="20">
        <f t="shared" si="152"/>
        <v>0</v>
      </c>
      <c r="AF59" s="20">
        <f t="shared" si="152"/>
        <v>0</v>
      </c>
      <c r="AG59" s="20">
        <f t="shared" si="152"/>
        <v>0</v>
      </c>
      <c r="AH59" s="20">
        <f t="shared" si="152"/>
        <v>0</v>
      </c>
      <c r="AI59" s="20">
        <f t="shared" si="152"/>
        <v>0</v>
      </c>
      <c r="AJ59" s="20">
        <f t="shared" si="152"/>
        <v>0</v>
      </c>
      <c r="AK59" s="20">
        <f t="shared" si="152"/>
        <v>0</v>
      </c>
      <c r="AL59" s="20">
        <f t="shared" si="152"/>
        <v>0</v>
      </c>
    </row>
    <row r="60" spans="1:38" hidden="1" x14ac:dyDescent="0.25">
      <c r="A60" s="17"/>
      <c r="B60" s="18" t="s">
        <v>46</v>
      </c>
      <c r="C60" s="19" t="s">
        <v>23</v>
      </c>
      <c r="D60" s="20">
        <f t="shared" ref="D60:AA60" si="153">D57+D58+D59</f>
        <v>-62359.729980360476</v>
      </c>
      <c r="E60" s="20" t="e">
        <f t="shared" si="153"/>
        <v>#REF!</v>
      </c>
      <c r="F60" s="20">
        <f t="shared" si="153"/>
        <v>-128223.99954410501</v>
      </c>
      <c r="G60" s="20">
        <f t="shared" si="153"/>
        <v>-126253.92889540204</v>
      </c>
      <c r="H60" s="20">
        <f t="shared" si="153"/>
        <v>-55518.230472143252</v>
      </c>
      <c r="I60" s="20">
        <f t="shared" si="153"/>
        <v>-53664.072604310022</v>
      </c>
      <c r="J60" s="20">
        <f t="shared" si="153"/>
        <v>-51862.583016149751</v>
      </c>
      <c r="K60" s="20">
        <f t="shared" si="153"/>
        <v>-50112.180959415178</v>
      </c>
      <c r="L60" s="20">
        <f t="shared" si="153"/>
        <v>-48411.335242167603</v>
      </c>
      <c r="M60" s="20">
        <f t="shared" si="153"/>
        <v>-47262.068883721069</v>
      </c>
      <c r="N60" s="20">
        <f t="shared" si="153"/>
        <v>-46133.933117484419</v>
      </c>
      <c r="O60" s="20">
        <f t="shared" si="153"/>
        <v>-45026.539151626617</v>
      </c>
      <c r="P60" s="20">
        <f t="shared" si="153"/>
        <v>-43939.505352881934</v>
      </c>
      <c r="Q60" s="20">
        <f t="shared" si="153"/>
        <v>-42872.45711465511</v>
      </c>
      <c r="R60" s="20">
        <f t="shared" si="153"/>
        <v>-42075.140899412007</v>
      </c>
      <c r="S60" s="20">
        <f t="shared" si="153"/>
        <v>-41292.704598035889</v>
      </c>
      <c r="T60" s="20">
        <f t="shared" si="153"/>
        <v>-40524.870514134185</v>
      </c>
      <c r="U60" s="20">
        <f t="shared" si="153"/>
        <v>-39771.366133823343</v>
      </c>
      <c r="V60" s="20">
        <f t="shared" si="153"/>
        <v>-39031.924029010035</v>
      </c>
      <c r="W60" s="20">
        <f t="shared" si="153"/>
        <v>-38306.281762477774</v>
      </c>
      <c r="X60" s="20">
        <f t="shared" ref="X60:Z60" si="154">X57+X58+X59</f>
        <v>-37594.181794744691</v>
      </c>
      <c r="Y60" s="20">
        <f t="shared" si="154"/>
        <v>-36895.371392659472</v>
      </c>
      <c r="Z60" s="20">
        <f t="shared" si="154"/>
        <v>-36209.602539703083</v>
      </c>
      <c r="AA60" s="20">
        <f t="shared" si="153"/>
        <v>-35536.631847965087</v>
      </c>
      <c r="AB60" s="20">
        <f t="shared" ref="AB60:AL60" si="155">AB57+AB58+AB59</f>
        <v>-35383.699981062171</v>
      </c>
      <c r="AC60" s="20">
        <f t="shared" si="155"/>
        <v>-35527.532532489866</v>
      </c>
      <c r="AD60" s="20">
        <f t="shared" si="155"/>
        <v>-35658.643180928884</v>
      </c>
      <c r="AE60" s="20">
        <f t="shared" si="155"/>
        <v>-35777.180427765117</v>
      </c>
      <c r="AF60" s="20">
        <f t="shared" si="155"/>
        <v>-35883.290676547003</v>
      </c>
      <c r="AG60" s="20">
        <f t="shared" si="155"/>
        <v>-35977.118260092095</v>
      </c>
      <c r="AH60" s="20">
        <f t="shared" si="155"/>
        <v>-36058.805467261642</v>
      </c>
      <c r="AI60" s="20">
        <f t="shared" si="155"/>
        <v>-36128.492569405957</v>
      </c>
      <c r="AJ60" s="20">
        <f t="shared" si="155"/>
        <v>-36186.317846486119</v>
      </c>
      <c r="AK60" s="20">
        <f t="shared" si="155"/>
        <v>-36232.417612874393</v>
      </c>
      <c r="AL60" s="20">
        <f t="shared" si="155"/>
        <v>-36266.926242838214</v>
      </c>
    </row>
    <row r="61" spans="1:38" hidden="1" x14ac:dyDescent="0.25">
      <c r="A61" s="17"/>
      <c r="B61" s="18"/>
      <c r="C61" s="19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</row>
    <row r="62" spans="1:38" s="15" customFormat="1" x14ac:dyDescent="0.25">
      <c r="A62" s="12" t="s">
        <v>35</v>
      </c>
      <c r="B62" s="13" t="s">
        <v>47</v>
      </c>
      <c r="C62" s="3" t="s">
        <v>28</v>
      </c>
      <c r="D62" s="14">
        <v>56.1</v>
      </c>
      <c r="E62" s="14">
        <v>56.1</v>
      </c>
      <c r="F62" s="14">
        <v>56.1</v>
      </c>
      <c r="G62" s="14">
        <v>56.1</v>
      </c>
      <c r="H62" s="14">
        <v>56.1</v>
      </c>
      <c r="I62" s="14">
        <v>56.1</v>
      </c>
      <c r="J62" s="14">
        <v>56.1</v>
      </c>
      <c r="K62" s="14">
        <v>56.1</v>
      </c>
      <c r="L62" s="14">
        <v>56.1</v>
      </c>
      <c r="M62" s="14">
        <v>56.1</v>
      </c>
      <c r="N62" s="14">
        <v>56.1</v>
      </c>
      <c r="O62" s="14">
        <v>56.1</v>
      </c>
      <c r="P62" s="14">
        <v>56.1</v>
      </c>
      <c r="Q62" s="14">
        <v>56.1</v>
      </c>
      <c r="R62" s="14">
        <v>56.1</v>
      </c>
      <c r="S62" s="14">
        <v>56.1</v>
      </c>
      <c r="T62" s="14">
        <v>56.1</v>
      </c>
      <c r="U62" s="14">
        <v>56.1</v>
      </c>
      <c r="V62" s="14">
        <v>56.1</v>
      </c>
      <c r="W62" s="14">
        <v>56.1</v>
      </c>
      <c r="X62" s="14">
        <v>56.1</v>
      </c>
      <c r="Y62" s="14">
        <v>56.1</v>
      </c>
      <c r="Z62" s="14">
        <v>56.1</v>
      </c>
      <c r="AA62" s="14">
        <v>56.1</v>
      </c>
      <c r="AB62" s="14">
        <v>57.1</v>
      </c>
      <c r="AC62" s="14">
        <v>58.1</v>
      </c>
      <c r="AD62" s="14">
        <v>59.1</v>
      </c>
      <c r="AE62" s="14">
        <v>60.1</v>
      </c>
      <c r="AF62" s="14">
        <v>61.1</v>
      </c>
      <c r="AG62" s="14">
        <v>62.1</v>
      </c>
      <c r="AH62" s="14">
        <v>63.1</v>
      </c>
      <c r="AI62" s="14">
        <v>64.099999999999994</v>
      </c>
      <c r="AJ62" s="14">
        <v>65.099999999999994</v>
      </c>
      <c r="AK62" s="14">
        <v>66.099999999999994</v>
      </c>
      <c r="AL62" s="14">
        <v>67.099999999999994</v>
      </c>
    </row>
    <row r="63" spans="1:38" hidden="1" x14ac:dyDescent="0.25">
      <c r="A63" s="17" t="s">
        <v>36</v>
      </c>
      <c r="B63" s="18" t="s">
        <v>48</v>
      </c>
      <c r="C63" s="19" t="s">
        <v>28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1:38" hidden="1" x14ac:dyDescent="0.25">
      <c r="A64" s="17"/>
      <c r="B64" s="18"/>
      <c r="C64" s="19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 spans="1:29" hidden="1" x14ac:dyDescent="0.25">
      <c r="A65" s="17"/>
      <c r="B65" s="24" t="s">
        <v>66</v>
      </c>
      <c r="C65" s="19" t="s">
        <v>43</v>
      </c>
      <c r="D65" s="20">
        <v>57.703000000000003</v>
      </c>
      <c r="E65" s="20">
        <v>45.704000000000001</v>
      </c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</row>
    <row r="66" spans="1:29" x14ac:dyDescent="0.25"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</row>
    <row r="67" spans="1:29" x14ac:dyDescent="0.25">
      <c r="B67" s="26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</row>
    <row r="68" spans="1:29" x14ac:dyDescent="0.25">
      <c r="B68" s="26"/>
      <c r="D68" s="27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9"/>
      <c r="AC68" s="29"/>
    </row>
    <row r="69" spans="1:29" x14ac:dyDescent="0.25">
      <c r="B69" s="26" t="s">
        <v>86</v>
      </c>
      <c r="C69" s="19">
        <f>F41/D69</f>
        <v>488.36562984660407</v>
      </c>
      <c r="D69" s="20">
        <f>E69/1000+F31</f>
        <v>416.0685715410055</v>
      </c>
      <c r="E69" s="20">
        <f>(F32*1000/4.1848)*1.162</f>
        <v>193818.57154100548</v>
      </c>
      <c r="F69" s="28"/>
      <c r="G69" s="28">
        <f>F40/F41</f>
        <v>1.5126850577451256E-2</v>
      </c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spans="1:29" x14ac:dyDescent="0.25">
      <c r="B70" s="65" t="s">
        <v>81</v>
      </c>
      <c r="C70" s="65">
        <f>D40/D41</f>
        <v>1.5126850577451256E-2</v>
      </c>
      <c r="D70" s="78"/>
      <c r="E70" s="78"/>
      <c r="F70" s="78"/>
      <c r="G70" s="80">
        <v>1.5905375323811158E-2</v>
      </c>
      <c r="H70" s="80">
        <f>G40/I70</f>
        <v>1.5905375323811158E-2</v>
      </c>
      <c r="I70" s="64">
        <v>218250.27500000002</v>
      </c>
      <c r="J70" s="78" t="s">
        <v>89</v>
      </c>
      <c r="K70" s="78"/>
    </row>
    <row r="71" spans="1:29" x14ac:dyDescent="0.25">
      <c r="B71" s="30"/>
      <c r="C71" s="6">
        <f>6980850/153916</f>
        <v>45.35493386002755</v>
      </c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2"/>
      <c r="AC71" s="32"/>
    </row>
    <row r="72" spans="1:29" x14ac:dyDescent="0.25">
      <c r="B72" s="30"/>
      <c r="C72" s="6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4"/>
    </row>
    <row r="73" spans="1:29" x14ac:dyDescent="0.25">
      <c r="D73" s="34"/>
      <c r="E73" s="34"/>
      <c r="F73" s="34"/>
      <c r="G73" s="47">
        <f>G31/G32</f>
        <v>0.34845959233289386</v>
      </c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29"/>
    </row>
    <row r="74" spans="1:29" x14ac:dyDescent="0.25"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</row>
    <row r="79" spans="1:29" x14ac:dyDescent="0.25"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</row>
    <row r="81" spans="2:27" x14ac:dyDescent="0.25"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</row>
    <row r="83" spans="2:27" x14ac:dyDescent="0.25">
      <c r="B83" s="30"/>
      <c r="C83" s="6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 spans="2:27" x14ac:dyDescent="0.25">
      <c r="B84" s="30"/>
      <c r="C84" s="6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7" spans="2:27" x14ac:dyDescent="0.25">
      <c r="E87" s="35"/>
    </row>
    <row r="88" spans="2:27" x14ac:dyDescent="0.25">
      <c r="E88" s="35"/>
      <c r="H88" s="36"/>
    </row>
    <row r="89" spans="2:27" x14ac:dyDescent="0.25">
      <c r="B89" s="37"/>
      <c r="C89" s="38"/>
    </row>
    <row r="91" spans="2:27" x14ac:dyDescent="0.25">
      <c r="B91" s="37"/>
      <c r="C91" s="39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</row>
    <row r="92" spans="2:27" x14ac:dyDescent="0.25">
      <c r="B92" s="22"/>
      <c r="C92" s="35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</row>
    <row r="93" spans="2:27" x14ac:dyDescent="0.25">
      <c r="B93" s="22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</row>
    <row r="94" spans="2:27" x14ac:dyDescent="0.25"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</row>
    <row r="95" spans="2:27" x14ac:dyDescent="0.25"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</row>
    <row r="96" spans="2:27" x14ac:dyDescent="0.25"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</row>
    <row r="97" spans="4:27" x14ac:dyDescent="0.25"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</row>
    <row r="98" spans="4:27" x14ac:dyDescent="0.25"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</row>
    <row r="99" spans="4:27" x14ac:dyDescent="0.25"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</row>
    <row r="100" spans="4:27" x14ac:dyDescent="0.25"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</row>
    <row r="103" spans="4:27" x14ac:dyDescent="0.25"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</row>
    <row r="105" spans="4:27" x14ac:dyDescent="0.25"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</row>
    <row r="108" spans="4:27" x14ac:dyDescent="0.25"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</row>
    <row r="109" spans="4:27" x14ac:dyDescent="0.25"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</row>
    <row r="114" spans="3:7" x14ac:dyDescent="0.25">
      <c r="E114" s="40"/>
    </row>
    <row r="115" spans="3:7" x14ac:dyDescent="0.25">
      <c r="E115" s="40"/>
    </row>
    <row r="118" spans="3:7" x14ac:dyDescent="0.25">
      <c r="D118" s="41"/>
      <c r="G118" s="28"/>
    </row>
    <row r="119" spans="3:7" x14ac:dyDescent="0.25">
      <c r="C119" s="36"/>
      <c r="D119" s="41"/>
      <c r="G119" s="41"/>
    </row>
    <row r="120" spans="3:7" x14ac:dyDescent="0.25">
      <c r="D120" s="28"/>
    </row>
  </sheetData>
  <phoneticPr fontId="4" type="noConversion"/>
  <pageMargins left="0.45" right="0.45" top="0.5" bottom="0.5" header="0.3" footer="0.3"/>
  <pageSetup paperSize="8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Anexa 1</vt:lpstr>
      <vt:lpstr>Anexa 2</vt:lpstr>
      <vt:lpstr>Foaie3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Alina Armasu</cp:lastModifiedBy>
  <cp:lastPrinted>2023-02-14T07:18:31Z</cp:lastPrinted>
  <dcterms:created xsi:type="dcterms:W3CDTF">2015-02-15T17:32:54Z</dcterms:created>
  <dcterms:modified xsi:type="dcterms:W3CDTF">2024-01-25T19:31:05Z</dcterms:modified>
</cp:coreProperties>
</file>