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TERMOFICARE Fondul de modernizare\SUCEAVA\TEHNIC\"/>
    </mc:Choice>
  </mc:AlternateContent>
  <xr:revisionPtr revIDLastSave="0" documentId="13_ncr:1_{1C828036-AE9F-4BB9-978C-BCC4960A2F0F}" xr6:coauthVersionLast="47" xr6:coauthVersionMax="47" xr10:uidLastSave="{00000000-0000-0000-0000-000000000000}"/>
  <bookViews>
    <workbookView xWindow="-540" yWindow="165" windowWidth="13665" windowHeight="15405" xr2:uid="{544F1874-5E34-48FC-ACEC-AE4F53ABB790}"/>
  </bookViews>
  <sheets>
    <sheet name="Anexa 3" sheetId="1" r:id="rId1"/>
    <sheet name="Anexa 4" sheetId="2" r:id="rId2"/>
    <sheet name="Foaie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5" i="2" l="1"/>
  <c r="AC5" i="2"/>
  <c r="AD5" i="2"/>
  <c r="AE5" i="2"/>
  <c r="AF5" i="2"/>
  <c r="AG5" i="2"/>
  <c r="AH5" i="2"/>
  <c r="AI5" i="2"/>
  <c r="AJ5" i="2"/>
  <c r="AK5" i="2"/>
  <c r="AL5" i="2"/>
  <c r="AB6" i="2"/>
  <c r="AC6" i="2"/>
  <c r="AD6" i="2"/>
  <c r="AE6" i="2"/>
  <c r="AF6" i="2"/>
  <c r="AG6" i="2"/>
  <c r="AH6" i="2"/>
  <c r="AI6" i="2"/>
  <c r="AJ6" i="2"/>
  <c r="AK6" i="2"/>
  <c r="AL6" i="2"/>
  <c r="AB7" i="2"/>
  <c r="AC7" i="2"/>
  <c r="AF7" i="2"/>
  <c r="AJ7" i="2"/>
  <c r="AK7" i="2"/>
  <c r="AB8" i="2"/>
  <c r="AC8" i="2"/>
  <c r="AD8" i="2"/>
  <c r="AD7" i="2" s="1"/>
  <c r="AE8" i="2"/>
  <c r="AE7" i="2" s="1"/>
  <c r="AF8" i="2"/>
  <c r="AG8" i="2"/>
  <c r="AG7" i="2" s="1"/>
  <c r="AH8" i="2"/>
  <c r="AH7" i="2" s="1"/>
  <c r="AI8" i="2"/>
  <c r="AI7" i="2" s="1"/>
  <c r="AJ8" i="2"/>
  <c r="AK8" i="2"/>
  <c r="AL8" i="2"/>
  <c r="AL7" i="2" s="1"/>
  <c r="AB15" i="2"/>
  <c r="AC15" i="2"/>
  <c r="AD15" i="2"/>
  <c r="AE15" i="2"/>
  <c r="AF15" i="2"/>
  <c r="AG15" i="2"/>
  <c r="AH15" i="2"/>
  <c r="AI15" i="2"/>
  <c r="AJ15" i="2"/>
  <c r="AK15" i="2"/>
  <c r="AL15" i="2"/>
  <c r="AB32" i="2"/>
  <c r="AB34" i="2"/>
  <c r="AC34" i="2" s="1"/>
  <c r="AB35" i="2"/>
  <c r="AB49" i="2"/>
  <c r="AC49" i="2"/>
  <c r="AD49" i="2" s="1"/>
  <c r="AE49" i="2"/>
  <c r="AB50" i="2"/>
  <c r="AB51" i="2" s="1"/>
  <c r="AB16" i="2" s="1"/>
  <c r="AC50" i="2"/>
  <c r="AC51" i="2" s="1"/>
  <c r="AC52" i="2" s="1"/>
  <c r="AD50" i="2"/>
  <c r="AD51" i="2" s="1"/>
  <c r="AD52" i="2" s="1"/>
  <c r="AB54" i="2"/>
  <c r="AB59" i="2" s="1"/>
  <c r="AC54" i="2"/>
  <c r="AC59" i="2" s="1"/>
  <c r="AD54" i="2"/>
  <c r="AD59" i="2" s="1"/>
  <c r="AE54" i="2"/>
  <c r="AF54" i="2"/>
  <c r="AF59" i="2" s="1"/>
  <c r="AG54" i="2"/>
  <c r="AG59" i="2" s="1"/>
  <c r="AH54" i="2"/>
  <c r="AH59" i="2" s="1"/>
  <c r="AI54" i="2"/>
  <c r="AJ54" i="2"/>
  <c r="AJ59" i="2" s="1"/>
  <c r="AK54" i="2"/>
  <c r="AK59" i="2" s="1"/>
  <c r="AL54" i="2"/>
  <c r="AL59" i="2" s="1"/>
  <c r="AE59" i="2"/>
  <c r="AI59" i="2"/>
  <c r="AL4" i="2"/>
  <c r="I4" i="2"/>
  <c r="J4" i="2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V4" i="2" s="1"/>
  <c r="W4" i="2" s="1"/>
  <c r="X4" i="2" s="1"/>
  <c r="Y4" i="2" s="1"/>
  <c r="Z4" i="2" s="1"/>
  <c r="AA4" i="2" s="1"/>
  <c r="AB4" i="2" s="1"/>
  <c r="AC4" i="2" s="1"/>
  <c r="AD4" i="2" s="1"/>
  <c r="AE4" i="2" s="1"/>
  <c r="AF4" i="2" s="1"/>
  <c r="AG4" i="2" s="1"/>
  <c r="AH4" i="2" s="1"/>
  <c r="AI4" i="2" s="1"/>
  <c r="AJ4" i="2" s="1"/>
  <c r="AK4" i="2" s="1"/>
  <c r="H4" i="2"/>
  <c r="AC6" i="1"/>
  <c r="AC15" i="1"/>
  <c r="AD15" i="1" s="1"/>
  <c r="AE15" i="1" s="1"/>
  <c r="AF15" i="1" s="1"/>
  <c r="AG15" i="1" s="1"/>
  <c r="AH15" i="1" s="1"/>
  <c r="AI15" i="1" s="1"/>
  <c r="AJ15" i="1" s="1"/>
  <c r="AK15" i="1" s="1"/>
  <c r="AL15" i="1" s="1"/>
  <c r="AM15" i="1" s="1"/>
  <c r="AC17" i="1"/>
  <c r="AC19" i="1"/>
  <c r="AC21" i="1"/>
  <c r="AD21" i="1" s="1"/>
  <c r="AE21" i="1"/>
  <c r="AF21" i="1" s="1"/>
  <c r="AG21" i="1"/>
  <c r="AH21" i="1" s="1"/>
  <c r="AI21" i="1" s="1"/>
  <c r="AJ21" i="1" s="1"/>
  <c r="AK21" i="1" s="1"/>
  <c r="AL21" i="1" s="1"/>
  <c r="AM21" i="1" s="1"/>
  <c r="AC29" i="1"/>
  <c r="AD6" i="1" s="1"/>
  <c r="AD17" i="1" s="1"/>
  <c r="AC31" i="1"/>
  <c r="AD31" i="1"/>
  <c r="AE31" i="1" s="1"/>
  <c r="AF31" i="1"/>
  <c r="AG31" i="1" s="1"/>
  <c r="AH31" i="1"/>
  <c r="AI31" i="1" s="1"/>
  <c r="AC32" i="1"/>
  <c r="AD32" i="1" s="1"/>
  <c r="AE32" i="1"/>
  <c r="AF32" i="1" s="1"/>
  <c r="AG32" i="1" s="1"/>
  <c r="AH32" i="1" s="1"/>
  <c r="AI32" i="1" s="1"/>
  <c r="AJ32" i="1" s="1"/>
  <c r="AK32" i="1" s="1"/>
  <c r="AL32" i="1" s="1"/>
  <c r="AM32" i="1" s="1"/>
  <c r="J5" i="1"/>
  <c r="K5" i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AH5" i="1" s="1"/>
  <c r="AI5" i="1" s="1"/>
  <c r="AJ5" i="1" s="1"/>
  <c r="AK5" i="1" s="1"/>
  <c r="AL5" i="1" s="1"/>
  <c r="AM5" i="1" s="1"/>
  <c r="I5" i="1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H35" i="2"/>
  <c r="AB52" i="2" l="1"/>
  <c r="AE50" i="2"/>
  <c r="AE51" i="2" s="1"/>
  <c r="AE52" i="2" s="1"/>
  <c r="AF49" i="2"/>
  <c r="AC16" i="2"/>
  <c r="AB17" i="2"/>
  <c r="AB18" i="2" s="1"/>
  <c r="AB57" i="2"/>
  <c r="AB33" i="2"/>
  <c r="AB46" i="2" s="1"/>
  <c r="AB31" i="2"/>
  <c r="AD32" i="2"/>
  <c r="AE32" i="2"/>
  <c r="AC35" i="2"/>
  <c r="AD34" i="2"/>
  <c r="AC32" i="2"/>
  <c r="AI33" i="1"/>
  <c r="AH33" i="1"/>
  <c r="AI34" i="1" s="1"/>
  <c r="AI10" i="1" s="1"/>
  <c r="AG33" i="1"/>
  <c r="AF33" i="1"/>
  <c r="AG34" i="1" s="1"/>
  <c r="AG10" i="1" s="1"/>
  <c r="AE33" i="1"/>
  <c r="AF34" i="1" s="1"/>
  <c r="AF10" i="1" s="1"/>
  <c r="AD19" i="1"/>
  <c r="AD33" i="1"/>
  <c r="AJ31" i="1"/>
  <c r="AC33" i="1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G33" i="2"/>
  <c r="N31" i="1"/>
  <c r="L34" i="2"/>
  <c r="M34" i="2" s="1"/>
  <c r="K34" i="2"/>
  <c r="L44" i="1"/>
  <c r="N41" i="1"/>
  <c r="M41" i="1"/>
  <c r="L41" i="1"/>
  <c r="M38" i="1"/>
  <c r="N38" i="1"/>
  <c r="L38" i="1"/>
  <c r="G29" i="2"/>
  <c r="AE31" i="2" l="1"/>
  <c r="AC17" i="2"/>
  <c r="AC18" i="2" s="1"/>
  <c r="AC57" i="2"/>
  <c r="AC31" i="2"/>
  <c r="AC33" i="2"/>
  <c r="AC46" i="2" s="1"/>
  <c r="AF50" i="2"/>
  <c r="AF51" i="2" s="1"/>
  <c r="AF52" i="2" s="1"/>
  <c r="AF32" i="2"/>
  <c r="AG49" i="2"/>
  <c r="AD31" i="2"/>
  <c r="AD33" i="2"/>
  <c r="AD46" i="2" s="1"/>
  <c r="AB29" i="2"/>
  <c r="AB40" i="2"/>
  <c r="AD16" i="2"/>
  <c r="AD35" i="2"/>
  <c r="AE34" i="2"/>
  <c r="AB10" i="2"/>
  <c r="AB36" i="2"/>
  <c r="AD29" i="1"/>
  <c r="AE6" i="1" s="1"/>
  <c r="AE17" i="1" s="1"/>
  <c r="AE19" i="1" s="1"/>
  <c r="AD34" i="1"/>
  <c r="AD10" i="1" s="1"/>
  <c r="AC34" i="1"/>
  <c r="AC10" i="1" s="1"/>
  <c r="AK31" i="1"/>
  <c r="AJ33" i="1"/>
  <c r="AE34" i="1"/>
  <c r="AE10" i="1" s="1"/>
  <c r="AH34" i="1"/>
  <c r="AH10" i="1" s="1"/>
  <c r="N34" i="2"/>
  <c r="O34" i="2" s="1"/>
  <c r="P34" i="2" s="1"/>
  <c r="Q34" i="2" s="1"/>
  <c r="R34" i="2" s="1"/>
  <c r="S34" i="2" s="1"/>
  <c r="T34" i="2" s="1"/>
  <c r="U34" i="2" s="1"/>
  <c r="V34" i="2" s="1"/>
  <c r="W34" i="2" s="1"/>
  <c r="X34" i="2" s="1"/>
  <c r="Y34" i="2" s="1"/>
  <c r="Z34" i="2" s="1"/>
  <c r="AA34" i="2" s="1"/>
  <c r="H50" i="2"/>
  <c r="G46" i="2"/>
  <c r="AB41" i="2" l="1"/>
  <c r="AB24" i="2" s="1"/>
  <c r="AB23" i="2"/>
  <c r="AB28" i="2"/>
  <c r="AE16" i="2"/>
  <c r="AE35" i="2"/>
  <c r="AF34" i="2"/>
  <c r="AE38" i="2"/>
  <c r="AH49" i="2"/>
  <c r="AG50" i="2"/>
  <c r="AG51" i="2" s="1"/>
  <c r="AG52" i="2" s="1"/>
  <c r="AG32" i="2"/>
  <c r="AF33" i="2"/>
  <c r="AF46" i="2" s="1"/>
  <c r="AF31" i="2"/>
  <c r="AE36" i="2"/>
  <c r="AE19" i="2" s="1"/>
  <c r="AE20" i="2" s="1"/>
  <c r="AE10" i="2"/>
  <c r="AC29" i="2"/>
  <c r="AC40" i="2"/>
  <c r="AB38" i="2"/>
  <c r="AB19" i="2"/>
  <c r="AB20" i="2" s="1"/>
  <c r="AD29" i="2"/>
  <c r="AD40" i="2"/>
  <c r="AD28" i="2" s="1"/>
  <c r="AC10" i="2"/>
  <c r="AC36" i="2"/>
  <c r="AB11" i="2"/>
  <c r="AD17" i="2"/>
  <c r="AD18" i="2" s="1"/>
  <c r="AD57" i="2"/>
  <c r="AD10" i="2"/>
  <c r="AD36" i="2"/>
  <c r="AE33" i="2"/>
  <c r="AE46" i="2" s="1"/>
  <c r="AE29" i="1"/>
  <c r="AF6" i="1" s="1"/>
  <c r="AF17" i="1" s="1"/>
  <c r="AF19" i="1" s="1"/>
  <c r="AC14" i="1"/>
  <c r="AC7" i="1"/>
  <c r="AK33" i="1"/>
  <c r="AL31" i="1"/>
  <c r="AJ34" i="1"/>
  <c r="AJ10" i="1" s="1"/>
  <c r="G40" i="2"/>
  <c r="G12" i="2"/>
  <c r="G11" i="2" s="1"/>
  <c r="G31" i="2"/>
  <c r="H19" i="1"/>
  <c r="H18" i="1"/>
  <c r="H21" i="1"/>
  <c r="AE40" i="2" l="1"/>
  <c r="AE29" i="2"/>
  <c r="AF29" i="2"/>
  <c r="AF40" i="2"/>
  <c r="AI49" i="2"/>
  <c r="AH50" i="2"/>
  <c r="AH51" i="2" s="1"/>
  <c r="AH52" i="2" s="1"/>
  <c r="AH32" i="2"/>
  <c r="AE17" i="2"/>
  <c r="AE18" i="2" s="1"/>
  <c r="AE28" i="2"/>
  <c r="AE57" i="2"/>
  <c r="AC19" i="2"/>
  <c r="AC20" i="2" s="1"/>
  <c r="AC38" i="2"/>
  <c r="AE21" i="2"/>
  <c r="AE39" i="2"/>
  <c r="AD19" i="2"/>
  <c r="AD20" i="2" s="1"/>
  <c r="AD38" i="2"/>
  <c r="AB21" i="2"/>
  <c r="AB39" i="2"/>
  <c r="AB37" i="2" s="1"/>
  <c r="AG31" i="2"/>
  <c r="AG33" i="2" s="1"/>
  <c r="AG46" i="2" s="1"/>
  <c r="AG34" i="2"/>
  <c r="AF35" i="2"/>
  <c r="AF16" i="2"/>
  <c r="AC11" i="2"/>
  <c r="AB12" i="2"/>
  <c r="AD23" i="2"/>
  <c r="AD41" i="2"/>
  <c r="AD24" i="2" s="1"/>
  <c r="AC23" i="2"/>
  <c r="AC41" i="2"/>
  <c r="AC24" i="2" s="1"/>
  <c r="AC28" i="2"/>
  <c r="AF10" i="2"/>
  <c r="AF36" i="2"/>
  <c r="AF19" i="2" s="1"/>
  <c r="AF20" i="2" s="1"/>
  <c r="AE37" i="2"/>
  <c r="AF29" i="1"/>
  <c r="AG6" i="1" s="1"/>
  <c r="AG17" i="1" s="1"/>
  <c r="AG19" i="1"/>
  <c r="AM31" i="1"/>
  <c r="AM33" i="1" s="1"/>
  <c r="AL33" i="1"/>
  <c r="AM34" i="1" s="1"/>
  <c r="AM10" i="1" s="1"/>
  <c r="AD14" i="1"/>
  <c r="AC8" i="1"/>
  <c r="AC16" i="1" s="1"/>
  <c r="AC18" i="1" s="1"/>
  <c r="AL34" i="1"/>
  <c r="AL10" i="1" s="1"/>
  <c r="AK34" i="1"/>
  <c r="AK10" i="1" s="1"/>
  <c r="G41" i="2"/>
  <c r="G28" i="2"/>
  <c r="H70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D54" i="2"/>
  <c r="E16" i="2"/>
  <c r="E17" i="2" s="1"/>
  <c r="F16" i="2"/>
  <c r="F17" i="2" s="1"/>
  <c r="D15" i="2"/>
  <c r="E10" i="2"/>
  <c r="F10" i="2"/>
  <c r="AG29" i="2" l="1"/>
  <c r="AG40" i="2"/>
  <c r="AC12" i="2"/>
  <c r="AB14" i="2"/>
  <c r="AG16" i="2"/>
  <c r="AH34" i="2"/>
  <c r="AG35" i="2"/>
  <c r="AB22" i="2"/>
  <c r="AB58" i="2"/>
  <c r="AB60" i="2" s="1"/>
  <c r="AH31" i="2"/>
  <c r="AB13" i="2"/>
  <c r="AF38" i="2"/>
  <c r="AE22" i="2"/>
  <c r="AE58" i="2"/>
  <c r="AE60" i="2" s="1"/>
  <c r="AC21" i="2"/>
  <c r="AC39" i="2"/>
  <c r="AC37" i="2" s="1"/>
  <c r="AF41" i="2"/>
  <c r="AF24" i="2" s="1"/>
  <c r="AF23" i="2"/>
  <c r="AD11" i="2"/>
  <c r="AF17" i="2"/>
  <c r="AF18" i="2" s="1"/>
  <c r="AF28" i="2"/>
  <c r="AF57" i="2"/>
  <c r="AG10" i="2"/>
  <c r="AG36" i="2"/>
  <c r="AG19" i="2" s="1"/>
  <c r="AG20" i="2" s="1"/>
  <c r="AD39" i="2"/>
  <c r="AD37" i="2" s="1"/>
  <c r="AD21" i="2"/>
  <c r="AI50" i="2"/>
  <c r="AI51" i="2" s="1"/>
  <c r="AI52" i="2" s="1"/>
  <c r="AJ49" i="2"/>
  <c r="AI32" i="2"/>
  <c r="AE23" i="2"/>
  <c r="AE41" i="2"/>
  <c r="AE24" i="2" s="1"/>
  <c r="AC20" i="1"/>
  <c r="AC22" i="1" s="1"/>
  <c r="AC23" i="1" s="1"/>
  <c r="AC25" i="1"/>
  <c r="AE14" i="1"/>
  <c r="AG29" i="1"/>
  <c r="AH6" i="1" s="1"/>
  <c r="AH17" i="1" s="1"/>
  <c r="AH19" i="1" s="1"/>
  <c r="C71" i="2"/>
  <c r="F57" i="2"/>
  <c r="G31" i="1"/>
  <c r="G15" i="1"/>
  <c r="E24" i="2"/>
  <c r="F18" i="2"/>
  <c r="G21" i="1"/>
  <c r="G19" i="1"/>
  <c r="G18" i="1"/>
  <c r="AE11" i="2" l="1"/>
  <c r="AH36" i="2"/>
  <c r="AH19" i="2" s="1"/>
  <c r="AH20" i="2" s="1"/>
  <c r="AH10" i="2"/>
  <c r="AD12" i="2"/>
  <c r="AC14" i="2"/>
  <c r="AI33" i="2"/>
  <c r="AI46" i="2" s="1"/>
  <c r="AI31" i="2"/>
  <c r="AC22" i="2"/>
  <c r="AC58" i="2"/>
  <c r="AC60" i="2" s="1"/>
  <c r="AF21" i="2"/>
  <c r="AF39" i="2"/>
  <c r="AF37" i="2" s="1"/>
  <c r="AG17" i="2"/>
  <c r="AG18" i="2" s="1"/>
  <c r="AG28" i="2"/>
  <c r="AG57" i="2"/>
  <c r="AK49" i="2"/>
  <c r="AJ32" i="2"/>
  <c r="AJ50" i="2"/>
  <c r="AJ51" i="2" s="1"/>
  <c r="AJ52" i="2" s="1"/>
  <c r="AG38" i="2"/>
  <c r="AG23" i="2"/>
  <c r="AG41" i="2"/>
  <c r="AG24" i="2" s="1"/>
  <c r="AD22" i="2"/>
  <c r="AD58" i="2"/>
  <c r="AD60" i="2" s="1"/>
  <c r="AH16" i="2"/>
  <c r="AH35" i="2"/>
  <c r="AI34" i="2"/>
  <c r="AH38" i="2"/>
  <c r="AC13" i="2"/>
  <c r="AH33" i="2"/>
  <c r="AH46" i="2" s="1"/>
  <c r="AH29" i="1"/>
  <c r="AI6" i="1" s="1"/>
  <c r="AI17" i="1" s="1"/>
  <c r="AI19" i="1"/>
  <c r="AF14" i="1"/>
  <c r="AC26" i="1"/>
  <c r="AC27" i="1" s="1"/>
  <c r="AD7" i="1"/>
  <c r="H31" i="1"/>
  <c r="H37" i="1"/>
  <c r="G32" i="1"/>
  <c r="AH39" i="2" l="1"/>
  <c r="AH37" i="2" s="1"/>
  <c r="AH21" i="2"/>
  <c r="AI40" i="2"/>
  <c r="AI29" i="2"/>
  <c r="AH40" i="2"/>
  <c r="AH29" i="2"/>
  <c r="AI16" i="2"/>
  <c r="AI35" i="2"/>
  <c r="AJ34" i="2"/>
  <c r="AI38" i="2"/>
  <c r="AF11" i="2"/>
  <c r="AJ31" i="2"/>
  <c r="AE12" i="2"/>
  <c r="AD14" i="2"/>
  <c r="AD13" i="2"/>
  <c r="AG39" i="2"/>
  <c r="AG37" i="2" s="1"/>
  <c r="AG21" i="2"/>
  <c r="AF22" i="2"/>
  <c r="AF58" i="2"/>
  <c r="AF60" i="2" s="1"/>
  <c r="AH57" i="2"/>
  <c r="AH17" i="2"/>
  <c r="AH18" i="2" s="1"/>
  <c r="AH28" i="2"/>
  <c r="AL49" i="2"/>
  <c r="AK32" i="2"/>
  <c r="AK50" i="2"/>
  <c r="AK51" i="2" s="1"/>
  <c r="AK52" i="2" s="1"/>
  <c r="AI36" i="2"/>
  <c r="AI19" i="2" s="1"/>
  <c r="AI20" i="2" s="1"/>
  <c r="AI10" i="2"/>
  <c r="AG14" i="1"/>
  <c r="AD16" i="1"/>
  <c r="AD18" i="1" s="1"/>
  <c r="AI29" i="1"/>
  <c r="AJ6" i="1" s="1"/>
  <c r="AJ17" i="1" s="1"/>
  <c r="AJ19" i="1" s="1"/>
  <c r="H39" i="1"/>
  <c r="H32" i="1"/>
  <c r="I32" i="1" s="1"/>
  <c r="J32" i="1" s="1"/>
  <c r="K32" i="1" s="1"/>
  <c r="L32" i="1" s="1"/>
  <c r="M32" i="1" s="1"/>
  <c r="N32" i="1" s="1"/>
  <c r="I31" i="1"/>
  <c r="J31" i="1" s="1"/>
  <c r="K31" i="1" s="1"/>
  <c r="L31" i="1" s="1"/>
  <c r="M31" i="1" s="1"/>
  <c r="O31" i="1" s="1"/>
  <c r="P31" i="1" s="1"/>
  <c r="Q31" i="1" s="1"/>
  <c r="R31" i="1" s="1"/>
  <c r="S31" i="1" s="1"/>
  <c r="T31" i="1" s="1"/>
  <c r="U31" i="1" s="1"/>
  <c r="V31" i="1" s="1"/>
  <c r="W31" i="1" s="1"/>
  <c r="X31" i="1" s="1"/>
  <c r="Y31" i="1" s="1"/>
  <c r="Z31" i="1" s="1"/>
  <c r="AA31" i="1" s="1"/>
  <c r="AB31" i="1" s="1"/>
  <c r="H33" i="1"/>
  <c r="O32" i="1"/>
  <c r="G33" i="1"/>
  <c r="Z59" i="2"/>
  <c r="Y59" i="2"/>
  <c r="X59" i="2"/>
  <c r="E15" i="2"/>
  <c r="D24" i="2"/>
  <c r="D10" i="2"/>
  <c r="D40" i="2"/>
  <c r="D34" i="2"/>
  <c r="D49" i="2"/>
  <c r="D50" i="2" s="1"/>
  <c r="AG22" i="2" l="1"/>
  <c r="AG58" i="2"/>
  <c r="AG60" i="2" s="1"/>
  <c r="AF12" i="2"/>
  <c r="AE14" i="2"/>
  <c r="AG11" i="2"/>
  <c r="AK31" i="2"/>
  <c r="AK33" i="2"/>
  <c r="AK46" i="2" s="1"/>
  <c r="AJ10" i="2"/>
  <c r="AJ36" i="2"/>
  <c r="AJ19" i="2" s="1"/>
  <c r="AJ20" i="2" s="1"/>
  <c r="AE13" i="2"/>
  <c r="AI17" i="2"/>
  <c r="AI18" i="2" s="1"/>
  <c r="AI28" i="2"/>
  <c r="AI57" i="2"/>
  <c r="AI41" i="2"/>
  <c r="AI24" i="2" s="1"/>
  <c r="AI23" i="2"/>
  <c r="AL50" i="2"/>
  <c r="AL51" i="2" s="1"/>
  <c r="AL52" i="2" s="1"/>
  <c r="AL32" i="2"/>
  <c r="AJ33" i="2"/>
  <c r="AJ46" i="2" s="1"/>
  <c r="AI21" i="2"/>
  <c r="AI39" i="2"/>
  <c r="AI37" i="2" s="1"/>
  <c r="AK34" i="2"/>
  <c r="AJ16" i="2"/>
  <c r="AJ35" i="2"/>
  <c r="AJ38" i="2"/>
  <c r="AH23" i="2"/>
  <c r="AH41" i="2"/>
  <c r="AH24" i="2" s="1"/>
  <c r="AH22" i="2"/>
  <c r="AH58" i="2"/>
  <c r="AH60" i="2" s="1"/>
  <c r="AD20" i="1"/>
  <c r="AD22" i="1" s="1"/>
  <c r="AD23" i="1" s="1"/>
  <c r="AD25" i="1"/>
  <c r="AJ29" i="1"/>
  <c r="AK6" i="1" s="1"/>
  <c r="AK17" i="1" s="1"/>
  <c r="AK19" i="1" s="1"/>
  <c r="AH14" i="1"/>
  <c r="P32" i="1"/>
  <c r="Q32" i="1" s="1"/>
  <c r="R32" i="1" s="1"/>
  <c r="S32" i="1" s="1"/>
  <c r="T32" i="1" s="1"/>
  <c r="U32" i="1" s="1"/>
  <c r="V32" i="1" s="1"/>
  <c r="W32" i="1" s="1"/>
  <c r="X32" i="1" s="1"/>
  <c r="Y32" i="1" s="1"/>
  <c r="Z32" i="1" s="1"/>
  <c r="AA32" i="1" s="1"/>
  <c r="AB32" i="1" s="1"/>
  <c r="I33" i="1"/>
  <c r="D23" i="2"/>
  <c r="C70" i="2"/>
  <c r="E40" i="2" s="1"/>
  <c r="E49" i="2"/>
  <c r="AK16" i="2" l="1"/>
  <c r="AL34" i="2"/>
  <c r="AK35" i="2"/>
  <c r="AL31" i="2"/>
  <c r="AL33" i="2"/>
  <c r="AL46" i="2" s="1"/>
  <c r="AK29" i="2"/>
  <c r="AK40" i="2"/>
  <c r="AH11" i="2"/>
  <c r="AJ21" i="2"/>
  <c r="AJ39" i="2"/>
  <c r="AK10" i="2"/>
  <c r="AK36" i="2"/>
  <c r="AK19" i="2" s="1"/>
  <c r="AK20" i="2" s="1"/>
  <c r="AJ37" i="2"/>
  <c r="AI58" i="2"/>
  <c r="AI60" i="2" s="1"/>
  <c r="AI22" i="2"/>
  <c r="AG12" i="2"/>
  <c r="AF14" i="2"/>
  <c r="AJ17" i="2"/>
  <c r="AJ18" i="2" s="1"/>
  <c r="AJ28" i="2"/>
  <c r="AJ57" i="2"/>
  <c r="AJ29" i="2"/>
  <c r="AJ40" i="2"/>
  <c r="AF13" i="2"/>
  <c r="AK29" i="1"/>
  <c r="AL6" i="1" s="1"/>
  <c r="AL17" i="1" s="1"/>
  <c r="AL19" i="1" s="1"/>
  <c r="AD26" i="1"/>
  <c r="AD27" i="1" s="1"/>
  <c r="AE7" i="1"/>
  <c r="AE16" i="1" s="1"/>
  <c r="AE18" i="1" s="1"/>
  <c r="AI14" i="1"/>
  <c r="J33" i="1"/>
  <c r="E50" i="2"/>
  <c r="F49" i="2"/>
  <c r="AH12" i="2" l="1"/>
  <c r="AG14" i="2"/>
  <c r="AK23" i="2"/>
  <c r="AK41" i="2"/>
  <c r="AK24" i="2" s="1"/>
  <c r="AJ22" i="2"/>
  <c r="AJ58" i="2"/>
  <c r="AJ60" i="2" s="1"/>
  <c r="AL16" i="2"/>
  <c r="AL35" i="2"/>
  <c r="AJ41" i="2"/>
  <c r="AJ24" i="2" s="1"/>
  <c r="AJ23" i="2"/>
  <c r="AG13" i="2"/>
  <c r="AL40" i="2"/>
  <c r="AL29" i="2"/>
  <c r="AK28" i="2"/>
  <c r="AK17" i="2"/>
  <c r="AK18" i="2" s="1"/>
  <c r="AK57" i="2"/>
  <c r="AH13" i="2"/>
  <c r="AI11" i="2"/>
  <c r="AL10" i="2"/>
  <c r="AL36" i="2"/>
  <c r="AL19" i="2" s="1"/>
  <c r="AL20" i="2" s="1"/>
  <c r="AK38" i="2"/>
  <c r="AL29" i="1"/>
  <c r="AM6" i="1" s="1"/>
  <c r="AM17" i="1" s="1"/>
  <c r="AM19" i="1" s="1"/>
  <c r="AM29" i="1" s="1"/>
  <c r="AE20" i="1"/>
  <c r="AE22" i="1" s="1"/>
  <c r="AE23" i="1" s="1"/>
  <c r="AE25" i="1"/>
  <c r="AJ14" i="1"/>
  <c r="K33" i="1"/>
  <c r="F50" i="2"/>
  <c r="F19" i="1"/>
  <c r="E19" i="1"/>
  <c r="D19" i="1"/>
  <c r="E18" i="1"/>
  <c r="D18" i="1"/>
  <c r="D21" i="1"/>
  <c r="D15" i="1"/>
  <c r="E15" i="1"/>
  <c r="F15" i="1"/>
  <c r="E33" i="1"/>
  <c r="E14" i="1" s="1"/>
  <c r="F33" i="1"/>
  <c r="F14" i="1" s="1"/>
  <c r="D33" i="1"/>
  <c r="AL38" i="2" l="1"/>
  <c r="AI13" i="2"/>
  <c r="AJ11" i="2"/>
  <c r="AI12" i="2"/>
  <c r="AH14" i="2"/>
  <c r="AL23" i="2"/>
  <c r="AL41" i="2"/>
  <c r="AL24" i="2" s="1"/>
  <c r="AK21" i="2"/>
  <c r="AK39" i="2"/>
  <c r="AK37" i="2" s="1"/>
  <c r="AL17" i="2"/>
  <c r="AL18" i="2" s="1"/>
  <c r="AL28" i="2"/>
  <c r="AL57" i="2"/>
  <c r="AE26" i="1"/>
  <c r="AE27" i="1" s="1"/>
  <c r="AF7" i="1"/>
  <c r="AK14" i="1"/>
  <c r="L33" i="1"/>
  <c r="G50" i="2"/>
  <c r="G51" i="2" s="1"/>
  <c r="G17" i="2" s="1"/>
  <c r="D14" i="1"/>
  <c r="E34" i="1"/>
  <c r="D20" i="1"/>
  <c r="D22" i="1" s="1"/>
  <c r="F34" i="1"/>
  <c r="F21" i="1"/>
  <c r="I21" i="1" s="1"/>
  <c r="J21" i="1" s="1"/>
  <c r="K21" i="1" s="1"/>
  <c r="L21" i="1" s="1"/>
  <c r="M21" i="1" s="1"/>
  <c r="N21" i="1" s="1"/>
  <c r="E21" i="1"/>
  <c r="F18" i="1"/>
  <c r="AK22" i="2" l="1"/>
  <c r="AK58" i="2"/>
  <c r="AK60" i="2" s="1"/>
  <c r="AJ12" i="2"/>
  <c r="AI14" i="2"/>
  <c r="AL39" i="2"/>
  <c r="AL37" i="2" s="1"/>
  <c r="AL21" i="2"/>
  <c r="AK11" i="2"/>
  <c r="AF16" i="1"/>
  <c r="AF18" i="1" s="1"/>
  <c r="AL14" i="1"/>
  <c r="M33" i="1"/>
  <c r="O21" i="1"/>
  <c r="P21" i="1" s="1"/>
  <c r="I49" i="2"/>
  <c r="I50" i="2" s="1"/>
  <c r="H51" i="2"/>
  <c r="I15" i="1"/>
  <c r="E25" i="1"/>
  <c r="AK12" i="2" l="1"/>
  <c r="AJ14" i="2"/>
  <c r="AL11" i="2"/>
  <c r="AK13" i="2"/>
  <c r="AL22" i="2"/>
  <c r="AL58" i="2"/>
  <c r="AL60" i="2" s="1"/>
  <c r="AJ13" i="2"/>
  <c r="AF20" i="1"/>
  <c r="AF22" i="1" s="1"/>
  <c r="AF23" i="1" s="1"/>
  <c r="AF25" i="1"/>
  <c r="AM14" i="1"/>
  <c r="J15" i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Z15" i="1" s="1"/>
  <c r="AA15" i="1" s="1"/>
  <c r="AB15" i="1" s="1"/>
  <c r="H16" i="2"/>
  <c r="N33" i="1"/>
  <c r="Q21" i="1"/>
  <c r="R21" i="1" s="1"/>
  <c r="S21" i="1" s="1"/>
  <c r="T21" i="1" s="1"/>
  <c r="U21" i="1" s="1"/>
  <c r="V21" i="1" s="1"/>
  <c r="W21" i="1" s="1"/>
  <c r="X21" i="1" s="1"/>
  <c r="Y21" i="1" s="1"/>
  <c r="Z21" i="1" s="1"/>
  <c r="AA21" i="1" s="1"/>
  <c r="AB21" i="1" s="1"/>
  <c r="AA8" i="2" s="1"/>
  <c r="J49" i="2"/>
  <c r="J50" i="2" s="1"/>
  <c r="AL13" i="2" l="1"/>
  <c r="AL12" i="2"/>
  <c r="AL14" i="2" s="1"/>
  <c r="AK14" i="2"/>
  <c r="AF26" i="1"/>
  <c r="AF27" i="1" s="1"/>
  <c r="AG7" i="1"/>
  <c r="H17" i="2"/>
  <c r="O33" i="1"/>
  <c r="X8" i="2"/>
  <c r="W8" i="2"/>
  <c r="Z8" i="2"/>
  <c r="Y8" i="2"/>
  <c r="K49" i="2"/>
  <c r="K50" i="2" s="1"/>
  <c r="E26" i="1"/>
  <c r="E27" i="1" s="1"/>
  <c r="E20" i="1"/>
  <c r="E29" i="1"/>
  <c r="G8" i="2"/>
  <c r="H8" i="2"/>
  <c r="F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E8" i="2"/>
  <c r="D8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AA59" i="2"/>
  <c r="AG16" i="1" l="1"/>
  <c r="AG18" i="1" s="1"/>
  <c r="O34" i="1"/>
  <c r="O10" i="1" s="1"/>
  <c r="P33" i="1"/>
  <c r="L49" i="2"/>
  <c r="L50" i="2" s="1"/>
  <c r="M34" i="1"/>
  <c r="M10" i="1" s="1"/>
  <c r="N34" i="1"/>
  <c r="N10" i="1" s="1"/>
  <c r="E22" i="1"/>
  <c r="D6" i="2"/>
  <c r="G34" i="1"/>
  <c r="L34" i="1"/>
  <c r="L10" i="1" s="1"/>
  <c r="K34" i="1"/>
  <c r="K10" i="1" s="1"/>
  <c r="F10" i="1"/>
  <c r="F25" i="1" s="1"/>
  <c r="J34" i="1"/>
  <c r="J10" i="1" s="1"/>
  <c r="AG20" i="1" l="1"/>
  <c r="AG22" i="1" s="1"/>
  <c r="AG23" i="1" s="1"/>
  <c r="AG25" i="1"/>
  <c r="P34" i="1"/>
  <c r="P10" i="1" s="1"/>
  <c r="Q33" i="1"/>
  <c r="G10" i="1"/>
  <c r="G14" i="1" s="1"/>
  <c r="M49" i="2"/>
  <c r="M50" i="2" s="1"/>
  <c r="D5" i="2"/>
  <c r="D32" i="2" s="1"/>
  <c r="D33" i="2" s="1"/>
  <c r="E23" i="1"/>
  <c r="F29" i="1"/>
  <c r="D51" i="2"/>
  <c r="F20" i="1"/>
  <c r="I34" i="1"/>
  <c r="I10" i="1" s="1"/>
  <c r="H34" i="1"/>
  <c r="AG26" i="1" l="1"/>
  <c r="AG27" i="1" s="1"/>
  <c r="AH7" i="1"/>
  <c r="H10" i="1"/>
  <c r="H35" i="1"/>
  <c r="F22" i="1"/>
  <c r="E6" i="2"/>
  <c r="Q34" i="1"/>
  <c r="Q10" i="1" s="1"/>
  <c r="R33" i="1"/>
  <c r="D52" i="2"/>
  <c r="D16" i="2"/>
  <c r="N49" i="2"/>
  <c r="N50" i="2" s="1"/>
  <c r="D7" i="2"/>
  <c r="F26" i="1"/>
  <c r="F27" i="1" s="1"/>
  <c r="H14" i="1"/>
  <c r="I14" i="1" s="1"/>
  <c r="AH16" i="1" l="1"/>
  <c r="AH18" i="1" s="1"/>
  <c r="AH25" i="1"/>
  <c r="AH20" i="1"/>
  <c r="AH22" i="1" s="1"/>
  <c r="AH23" i="1" s="1"/>
  <c r="J14" i="1"/>
  <c r="H25" i="1"/>
  <c r="F23" i="1"/>
  <c r="E5" i="2"/>
  <c r="E7" i="2" s="1"/>
  <c r="R34" i="1"/>
  <c r="R10" i="1" s="1"/>
  <c r="S33" i="1"/>
  <c r="S34" i="1" s="1"/>
  <c r="S10" i="1" s="1"/>
  <c r="D17" i="2"/>
  <c r="D18" i="2" s="1"/>
  <c r="D57" i="2"/>
  <c r="O49" i="2"/>
  <c r="O50" i="2" s="1"/>
  <c r="AH26" i="1" l="1"/>
  <c r="AH27" i="1" s="1"/>
  <c r="AI7" i="1"/>
  <c r="K14" i="1"/>
  <c r="L14" i="1" s="1"/>
  <c r="M14" i="1" s="1"/>
  <c r="N14" i="1" s="1"/>
  <c r="O14" i="1" s="1"/>
  <c r="P14" i="1" s="1"/>
  <c r="Q14" i="1" s="1"/>
  <c r="R14" i="1" s="1"/>
  <c r="S14" i="1" s="1"/>
  <c r="T33" i="1"/>
  <c r="G29" i="1"/>
  <c r="P49" i="2"/>
  <c r="P50" i="2" s="1"/>
  <c r="G25" i="1"/>
  <c r="E32" i="2"/>
  <c r="AI16" i="1" l="1"/>
  <c r="AI18" i="1" s="1"/>
  <c r="T34" i="1"/>
  <c r="T10" i="1" s="1"/>
  <c r="T14" i="1" s="1"/>
  <c r="U33" i="1"/>
  <c r="Q49" i="2"/>
  <c r="Q50" i="2" s="1"/>
  <c r="G26" i="1"/>
  <c r="G27" i="1" s="1"/>
  <c r="G20" i="1"/>
  <c r="F6" i="2" s="1"/>
  <c r="AI20" i="1" l="1"/>
  <c r="AI22" i="1" s="1"/>
  <c r="AI23" i="1" s="1"/>
  <c r="AI25" i="1"/>
  <c r="U34" i="1"/>
  <c r="U10" i="1" s="1"/>
  <c r="U14" i="1" s="1"/>
  <c r="V33" i="1"/>
  <c r="H29" i="1"/>
  <c r="I9" i="1" s="1"/>
  <c r="R49" i="2"/>
  <c r="R50" i="2" s="1"/>
  <c r="G22" i="1"/>
  <c r="E57" i="2"/>
  <c r="AI26" i="1" l="1"/>
  <c r="AI27" i="1" s="1"/>
  <c r="AJ7" i="1"/>
  <c r="G23" i="1"/>
  <c r="F15" i="2" s="1"/>
  <c r="F5" i="2"/>
  <c r="V34" i="1"/>
  <c r="V10" i="1" s="1"/>
  <c r="V14" i="1" s="1"/>
  <c r="W33" i="1"/>
  <c r="I6" i="1"/>
  <c r="H26" i="1"/>
  <c r="E18" i="2"/>
  <c r="E52" i="2"/>
  <c r="S49" i="2"/>
  <c r="S50" i="2" s="1"/>
  <c r="AJ16" i="1" l="1"/>
  <c r="AJ18" i="1" s="1"/>
  <c r="F32" i="2"/>
  <c r="E69" i="2" s="1"/>
  <c r="D69" i="2" s="1"/>
  <c r="C69" i="2" s="1"/>
  <c r="F7" i="2"/>
  <c r="I17" i="1"/>
  <c r="I19" i="1" s="1"/>
  <c r="I29" i="1" s="1"/>
  <c r="J9" i="1" s="1"/>
  <c r="W34" i="1"/>
  <c r="W10" i="1" s="1"/>
  <c r="W14" i="1" s="1"/>
  <c r="X33" i="1"/>
  <c r="X34" i="1" s="1"/>
  <c r="X10" i="1" s="1"/>
  <c r="H27" i="1"/>
  <c r="I7" i="1"/>
  <c r="I8" i="1"/>
  <c r="T49" i="2"/>
  <c r="T50" i="2" s="1"/>
  <c r="H20" i="1"/>
  <c r="G6" i="2" s="1"/>
  <c r="AJ25" i="1" l="1"/>
  <c r="AJ20" i="1"/>
  <c r="AJ22" i="1" s="1"/>
  <c r="AJ23" i="1" s="1"/>
  <c r="F33" i="2"/>
  <c r="Y33" i="1"/>
  <c r="X14" i="1"/>
  <c r="J6" i="1"/>
  <c r="J17" i="1" s="1"/>
  <c r="J19" i="1" s="1"/>
  <c r="F36" i="2"/>
  <c r="F14" i="2"/>
  <c r="F52" i="2"/>
  <c r="U49" i="2"/>
  <c r="U50" i="2" s="1"/>
  <c r="H22" i="1"/>
  <c r="I16" i="1"/>
  <c r="I18" i="1" s="1"/>
  <c r="AJ26" i="1" l="1"/>
  <c r="AJ27" i="1" s="1"/>
  <c r="AK7" i="1"/>
  <c r="I25" i="1"/>
  <c r="H23" i="1"/>
  <c r="G15" i="2" s="1"/>
  <c r="G5" i="2"/>
  <c r="Y34" i="1"/>
  <c r="Y10" i="1" s="1"/>
  <c r="Y14" i="1" s="1"/>
  <c r="Z33" i="1"/>
  <c r="J29" i="1"/>
  <c r="K9" i="1" s="1"/>
  <c r="F19" i="2"/>
  <c r="F37" i="2"/>
  <c r="F39" i="2" s="1"/>
  <c r="F38" i="2"/>
  <c r="F21" i="2" s="1"/>
  <c r="V49" i="2"/>
  <c r="V50" i="2" s="1"/>
  <c r="I20" i="1"/>
  <c r="AK16" i="1" l="1"/>
  <c r="AK18" i="1" s="1"/>
  <c r="AK20" i="1"/>
  <c r="AK22" i="1" s="1"/>
  <c r="AK23" i="1" s="1"/>
  <c r="AK25" i="1"/>
  <c r="I26" i="1"/>
  <c r="I27" i="1" s="1"/>
  <c r="J7" i="1"/>
  <c r="J8" i="1"/>
  <c r="G32" i="2"/>
  <c r="G73" i="2" s="1"/>
  <c r="G7" i="2"/>
  <c r="Z34" i="1"/>
  <c r="Z10" i="1" s="1"/>
  <c r="Z14" i="1" s="1"/>
  <c r="I22" i="1"/>
  <c r="H6" i="2"/>
  <c r="AA33" i="1"/>
  <c r="AB33" i="1"/>
  <c r="AB37" i="1" s="1"/>
  <c r="K6" i="1"/>
  <c r="K17" i="1" s="1"/>
  <c r="K19" i="1" s="1"/>
  <c r="F58" i="2"/>
  <c r="F22" i="2"/>
  <c r="F20" i="2"/>
  <c r="W49" i="2"/>
  <c r="AK26" i="1" l="1"/>
  <c r="AK27" i="1" s="1"/>
  <c r="AL7" i="1"/>
  <c r="X49" i="2"/>
  <c r="X50" i="2" s="1"/>
  <c r="W50" i="2"/>
  <c r="I23" i="1"/>
  <c r="H15" i="2" s="1"/>
  <c r="H5" i="2"/>
  <c r="AB34" i="1"/>
  <c r="AB10" i="1" s="1"/>
  <c r="AA34" i="1"/>
  <c r="AA10" i="1" s="1"/>
  <c r="AA14" i="1" s="1"/>
  <c r="K29" i="1"/>
  <c r="L9" i="1" s="1"/>
  <c r="Y49" i="2"/>
  <c r="Y50" i="2" s="1"/>
  <c r="X51" i="2"/>
  <c r="X16" i="2" s="1"/>
  <c r="J16" i="1"/>
  <c r="J18" i="1" s="1"/>
  <c r="J25" i="1" s="1"/>
  <c r="G18" i="2"/>
  <c r="F60" i="2"/>
  <c r="G52" i="2"/>
  <c r="AL16" i="1" l="1"/>
  <c r="AL18" i="1" s="1"/>
  <c r="X17" i="2"/>
  <c r="L6" i="1"/>
  <c r="L17" i="1" s="1"/>
  <c r="L19" i="1" s="1"/>
  <c r="K7" i="1"/>
  <c r="K8" i="1"/>
  <c r="H32" i="2"/>
  <c r="H31" i="2" s="1"/>
  <c r="H7" i="2"/>
  <c r="AB14" i="1"/>
  <c r="G47" i="2"/>
  <c r="G10" i="2"/>
  <c r="X52" i="2"/>
  <c r="Z49" i="2"/>
  <c r="Z50" i="2" s="1"/>
  <c r="Y51" i="2"/>
  <c r="Y16" i="2" s="1"/>
  <c r="G36" i="2"/>
  <c r="J20" i="1"/>
  <c r="AL20" i="1" l="1"/>
  <c r="AL22" i="1" s="1"/>
  <c r="AL23" i="1" s="1"/>
  <c r="AL25" i="1"/>
  <c r="Y17" i="2"/>
  <c r="J22" i="1"/>
  <c r="I6" i="2"/>
  <c r="H10" i="2"/>
  <c r="K16" i="1"/>
  <c r="J26" i="1"/>
  <c r="J27" i="1" s="1"/>
  <c r="L29" i="1"/>
  <c r="X57" i="2"/>
  <c r="X18" i="2"/>
  <c r="Y52" i="2"/>
  <c r="AA49" i="2"/>
  <c r="AA50" i="2" s="1"/>
  <c r="Z51" i="2"/>
  <c r="Z16" i="2" s="1"/>
  <c r="H18" i="2"/>
  <c r="H57" i="2"/>
  <c r="G19" i="2"/>
  <c r="G38" i="2"/>
  <c r="G21" i="2" s="1"/>
  <c r="G37" i="2"/>
  <c r="G39" i="2" s="1"/>
  <c r="H36" i="2"/>
  <c r="H52" i="2"/>
  <c r="AL26" i="1" l="1"/>
  <c r="AL27" i="1" s="1"/>
  <c r="AM7" i="1"/>
  <c r="Z17" i="2"/>
  <c r="H46" i="2"/>
  <c r="H29" i="2" s="1"/>
  <c r="M6" i="1"/>
  <c r="M9" i="1"/>
  <c r="J23" i="1"/>
  <c r="I15" i="2" s="1"/>
  <c r="I5" i="2"/>
  <c r="Y57" i="2"/>
  <c r="Y18" i="2"/>
  <c r="Z52" i="2"/>
  <c r="H19" i="2"/>
  <c r="H37" i="2"/>
  <c r="H39" i="2" s="1"/>
  <c r="H38" i="2"/>
  <c r="H21" i="2" s="1"/>
  <c r="G58" i="2"/>
  <c r="G60" i="2" s="1"/>
  <c r="G22" i="2"/>
  <c r="G20" i="2"/>
  <c r="K18" i="1"/>
  <c r="AM16" i="1" l="1"/>
  <c r="AM18" i="1" s="1"/>
  <c r="M17" i="1"/>
  <c r="M19" i="1" s="1"/>
  <c r="H40" i="2"/>
  <c r="K25" i="1"/>
  <c r="L8" i="1" s="1"/>
  <c r="I32" i="2"/>
  <c r="I31" i="2" s="1"/>
  <c r="I7" i="2"/>
  <c r="Z57" i="2"/>
  <c r="Z18" i="2"/>
  <c r="H58" i="2"/>
  <c r="H60" i="2" s="1"/>
  <c r="H22" i="2"/>
  <c r="H20" i="2"/>
  <c r="K20" i="1"/>
  <c r="AM20" i="1" l="1"/>
  <c r="AM22" i="1" s="1"/>
  <c r="AM23" i="1" s="1"/>
  <c r="AM25" i="1"/>
  <c r="AM26" i="1" s="1"/>
  <c r="AM27" i="1" s="1"/>
  <c r="H41" i="2"/>
  <c r="H28" i="2"/>
  <c r="H47" i="2"/>
  <c r="K26" i="1"/>
  <c r="K27" i="1" s="1"/>
  <c r="L7" i="1"/>
  <c r="L16" i="1" s="1"/>
  <c r="K22" i="1"/>
  <c r="J6" i="2"/>
  <c r="I10" i="2"/>
  <c r="M29" i="1"/>
  <c r="N9" i="1" s="1"/>
  <c r="I51" i="2"/>
  <c r="I16" i="2" s="1"/>
  <c r="I17" i="2" l="1"/>
  <c r="I36" i="2"/>
  <c r="I37" i="2" s="1"/>
  <c r="I39" i="2" s="1"/>
  <c r="N6" i="1"/>
  <c r="N17" i="1" s="1"/>
  <c r="K23" i="1"/>
  <c r="J15" i="2" s="1"/>
  <c r="J5" i="2"/>
  <c r="I18" i="2"/>
  <c r="I57" i="2"/>
  <c r="I52" i="2"/>
  <c r="J51" i="2"/>
  <c r="J16" i="2" s="1"/>
  <c r="L18" i="1"/>
  <c r="J17" i="2" l="1"/>
  <c r="J18" i="2" s="1"/>
  <c r="I46" i="2"/>
  <c r="L25" i="1"/>
  <c r="M8" i="1" s="1"/>
  <c r="I38" i="2"/>
  <c r="I21" i="2" s="1"/>
  <c r="I58" i="2" s="1"/>
  <c r="I60" i="2" s="1"/>
  <c r="I19" i="2"/>
  <c r="I20" i="2" s="1"/>
  <c r="J32" i="2"/>
  <c r="J31" i="2" s="1"/>
  <c r="J7" i="2"/>
  <c r="J57" i="2"/>
  <c r="J52" i="2"/>
  <c r="L20" i="1"/>
  <c r="N19" i="1"/>
  <c r="I40" i="2" l="1"/>
  <c r="I41" i="2" s="1"/>
  <c r="I29" i="2"/>
  <c r="L26" i="1"/>
  <c r="L27" i="1" s="1"/>
  <c r="M7" i="1"/>
  <c r="I22" i="2"/>
  <c r="L22" i="1"/>
  <c r="K6" i="2"/>
  <c r="J10" i="2"/>
  <c r="N29" i="1"/>
  <c r="O9" i="1" s="1"/>
  <c r="I28" i="2" l="1"/>
  <c r="J36" i="2"/>
  <c r="J38" i="2" s="1"/>
  <c r="J21" i="2" s="1"/>
  <c r="L23" i="1"/>
  <c r="K15" i="2" s="1"/>
  <c r="K5" i="2"/>
  <c r="O6" i="1"/>
  <c r="O17" i="1" s="1"/>
  <c r="M16" i="1"/>
  <c r="M18" i="1" s="1"/>
  <c r="J46" i="2" l="1"/>
  <c r="M25" i="1"/>
  <c r="N8" i="1" s="1"/>
  <c r="J37" i="2"/>
  <c r="J39" i="2" s="1"/>
  <c r="J19" i="2"/>
  <c r="J20" i="2" s="1"/>
  <c r="K32" i="2"/>
  <c r="K31" i="2" s="1"/>
  <c r="K7" i="2"/>
  <c r="M20" i="1"/>
  <c r="J58" i="2"/>
  <c r="J22" i="2"/>
  <c r="K51" i="2"/>
  <c r="K16" i="2" s="1"/>
  <c r="O19" i="1"/>
  <c r="O29" i="1" s="1"/>
  <c r="P9" i="1" s="1"/>
  <c r="J40" i="2" l="1"/>
  <c r="J41" i="2" s="1"/>
  <c r="J29" i="2"/>
  <c r="K17" i="2"/>
  <c r="K18" i="2" s="1"/>
  <c r="J28" i="2"/>
  <c r="M26" i="1"/>
  <c r="M27" i="1" s="1"/>
  <c r="N7" i="1"/>
  <c r="M22" i="1"/>
  <c r="L6" i="2"/>
  <c r="K57" i="2"/>
  <c r="J60" i="2"/>
  <c r="K52" i="2"/>
  <c r="K46" i="2" l="1"/>
  <c r="K10" i="2"/>
  <c r="K36" i="2"/>
  <c r="M23" i="1"/>
  <c r="L15" i="2" s="1"/>
  <c r="L5" i="2"/>
  <c r="N16" i="1"/>
  <c r="N18" i="1" s="1"/>
  <c r="N25" i="1" s="1"/>
  <c r="P6" i="1"/>
  <c r="L51" i="2"/>
  <c r="L16" i="2" s="1"/>
  <c r="K40" i="2" l="1"/>
  <c r="K41" i="2" s="1"/>
  <c r="K29" i="2"/>
  <c r="L17" i="2"/>
  <c r="O7" i="1"/>
  <c r="O8" i="1"/>
  <c r="L32" i="2"/>
  <c r="L31" i="2" s="1"/>
  <c r="L7" i="2"/>
  <c r="K38" i="2"/>
  <c r="K21" i="2" s="1"/>
  <c r="K19" i="2"/>
  <c r="K20" i="2" s="1"/>
  <c r="K37" i="2"/>
  <c r="K39" i="2" s="1"/>
  <c r="N20" i="1"/>
  <c r="M6" i="2" s="1"/>
  <c r="N26" i="1"/>
  <c r="N27" i="1" s="1"/>
  <c r="P17" i="1"/>
  <c r="P19" i="1" s="1"/>
  <c r="P29" i="1" s="1"/>
  <c r="Q9" i="1" s="1"/>
  <c r="L52" i="2"/>
  <c r="K28" i="2" l="1"/>
  <c r="K58" i="2"/>
  <c r="K60" i="2" s="1"/>
  <c r="K22" i="2"/>
  <c r="N22" i="1"/>
  <c r="O16" i="1"/>
  <c r="O18" i="1" s="1"/>
  <c r="Q6" i="1"/>
  <c r="Q17" i="1" s="1"/>
  <c r="L18" i="2"/>
  <c r="L57" i="2"/>
  <c r="O20" i="1" l="1"/>
  <c r="N6" i="2" s="1"/>
  <c r="O25" i="1"/>
  <c r="L10" i="2"/>
  <c r="L36" i="2"/>
  <c r="N23" i="1"/>
  <c r="M15" i="2" s="1"/>
  <c r="M5" i="2"/>
  <c r="O22" i="1"/>
  <c r="N5" i="2" s="1"/>
  <c r="Q19" i="1"/>
  <c r="L46" i="2" l="1"/>
  <c r="P7" i="1"/>
  <c r="P8" i="1"/>
  <c r="M32" i="2"/>
  <c r="M31" i="2" s="1"/>
  <c r="M7" i="2"/>
  <c r="N32" i="2"/>
  <c r="N31" i="2" s="1"/>
  <c r="N7" i="2"/>
  <c r="O23" i="1"/>
  <c r="N15" i="2" s="1"/>
  <c r="L19" i="2"/>
  <c r="L20" i="2" s="1"/>
  <c r="L38" i="2"/>
  <c r="Q29" i="1"/>
  <c r="O26" i="1"/>
  <c r="O27" i="1" s="1"/>
  <c r="M51" i="2"/>
  <c r="M16" i="2" s="1"/>
  <c r="L40" i="2" l="1"/>
  <c r="L28" i="2" s="1"/>
  <c r="L29" i="2"/>
  <c r="M17" i="2"/>
  <c r="R6" i="1"/>
  <c r="R9" i="1"/>
  <c r="L39" i="2"/>
  <c r="L37" i="2" s="1"/>
  <c r="L21" i="2"/>
  <c r="N10" i="2"/>
  <c r="M10" i="2"/>
  <c r="P16" i="1"/>
  <c r="P18" i="1" s="1"/>
  <c r="P25" i="1" s="1"/>
  <c r="M36" i="2"/>
  <c r="M19" i="2" s="1"/>
  <c r="M20" i="2" s="1"/>
  <c r="M52" i="2"/>
  <c r="L41" i="2" l="1"/>
  <c r="R17" i="1"/>
  <c r="R19" i="1" s="1"/>
  <c r="R29" i="1" s="1"/>
  <c r="S6" i="1" s="1"/>
  <c r="S17" i="1" s="1"/>
  <c r="S19" i="1" s="1"/>
  <c r="S29" i="1" s="1"/>
  <c r="T6" i="1" s="1"/>
  <c r="T17" i="1" s="1"/>
  <c r="T19" i="1" s="1"/>
  <c r="Q7" i="1"/>
  <c r="Q8" i="1"/>
  <c r="L22" i="2"/>
  <c r="L58" i="2"/>
  <c r="L60" i="2" s="1"/>
  <c r="P20" i="1"/>
  <c r="M38" i="2"/>
  <c r="M39" i="2" s="1"/>
  <c r="M37" i="2" s="1"/>
  <c r="M18" i="2"/>
  <c r="M57" i="2"/>
  <c r="M67" i="2" s="1"/>
  <c r="N51" i="2"/>
  <c r="N16" i="2" s="1"/>
  <c r="N17" i="2" l="1"/>
  <c r="N46" i="2"/>
  <c r="M46" i="2"/>
  <c r="P22" i="1"/>
  <c r="O6" i="2"/>
  <c r="T29" i="1"/>
  <c r="U6" i="1" s="1"/>
  <c r="U17" i="1" s="1"/>
  <c r="U19" i="1" s="1"/>
  <c r="U29" i="1" s="1"/>
  <c r="P26" i="1"/>
  <c r="P27" i="1" s="1"/>
  <c r="M21" i="2"/>
  <c r="M22" i="2" s="1"/>
  <c r="N52" i="2"/>
  <c r="N36" i="2"/>
  <c r="N19" i="2" s="1"/>
  <c r="M40" i="2" l="1"/>
  <c r="M28" i="2" s="1"/>
  <c r="M29" i="2"/>
  <c r="N40" i="2"/>
  <c r="N41" i="2" s="1"/>
  <c r="N29" i="2"/>
  <c r="Q16" i="1"/>
  <c r="Q18" i="1" s="1"/>
  <c r="Q20" i="1" s="1"/>
  <c r="P6" i="2" s="1"/>
  <c r="P23" i="1"/>
  <c r="O15" i="2" s="1"/>
  <c r="O5" i="2"/>
  <c r="V6" i="1"/>
  <c r="V17" i="1" s="1"/>
  <c r="V19" i="1" s="1"/>
  <c r="V29" i="1" s="1"/>
  <c r="M58" i="2"/>
  <c r="M60" i="2" s="1"/>
  <c r="N18" i="2"/>
  <c r="N57" i="2"/>
  <c r="N20" i="2"/>
  <c r="N38" i="2"/>
  <c r="O51" i="2"/>
  <c r="O16" i="2" s="1"/>
  <c r="N28" i="2" l="1"/>
  <c r="M41" i="2"/>
  <c r="O17" i="2"/>
  <c r="Q25" i="1"/>
  <c r="O32" i="2"/>
  <c r="O31" i="2" s="1"/>
  <c r="O7" i="2"/>
  <c r="Q22" i="1"/>
  <c r="P5" i="2" s="1"/>
  <c r="W6" i="1"/>
  <c r="W17" i="1" s="1"/>
  <c r="W19" i="1" s="1"/>
  <c r="W29" i="1" s="1"/>
  <c r="O52" i="2"/>
  <c r="N39" i="2"/>
  <c r="N37" i="2" s="1"/>
  <c r="N21" i="2"/>
  <c r="P51" i="2"/>
  <c r="P16" i="2" s="1"/>
  <c r="P17" i="2" l="1"/>
  <c r="R7" i="1"/>
  <c r="R8" i="1"/>
  <c r="Q26" i="1"/>
  <c r="Q27" i="1" s="1"/>
  <c r="P32" i="2"/>
  <c r="P31" i="2" s="1"/>
  <c r="P7" i="2"/>
  <c r="Q23" i="1"/>
  <c r="P15" i="2" s="1"/>
  <c r="X6" i="1"/>
  <c r="X17" i="1" s="1"/>
  <c r="X19" i="1" s="1"/>
  <c r="X29" i="1" s="1"/>
  <c r="O18" i="2"/>
  <c r="O57" i="2"/>
  <c r="P52" i="2"/>
  <c r="N22" i="2"/>
  <c r="N58" i="2"/>
  <c r="N60" i="2" s="1"/>
  <c r="O46" i="2" l="1"/>
  <c r="R16" i="1"/>
  <c r="R18" i="1" s="1"/>
  <c r="R20" i="1" s="1"/>
  <c r="O10" i="2"/>
  <c r="O36" i="2"/>
  <c r="P10" i="2"/>
  <c r="Y6" i="1"/>
  <c r="Y17" i="1" s="1"/>
  <c r="Y19" i="1" s="1"/>
  <c r="Y29" i="1" s="1"/>
  <c r="P18" i="2"/>
  <c r="P57" i="2"/>
  <c r="O40" i="2" l="1"/>
  <c r="O41" i="2" s="1"/>
  <c r="O29" i="2"/>
  <c r="R25" i="1"/>
  <c r="R26" i="1" s="1"/>
  <c r="R27" i="1" s="1"/>
  <c r="Q6" i="2"/>
  <c r="R22" i="1"/>
  <c r="O19" i="2"/>
  <c r="O20" i="2" s="1"/>
  <c r="O38" i="2"/>
  <c r="P36" i="2"/>
  <c r="P19" i="2" s="1"/>
  <c r="Z6" i="1"/>
  <c r="Z17" i="1" s="1"/>
  <c r="Z19" i="1" s="1"/>
  <c r="Z29" i="1" s="1"/>
  <c r="O28" i="2" l="1"/>
  <c r="P46" i="2"/>
  <c r="S7" i="1"/>
  <c r="S8" i="1"/>
  <c r="Q5" i="2"/>
  <c r="R23" i="1"/>
  <c r="Q15" i="2" s="1"/>
  <c r="O39" i="2"/>
  <c r="O37" i="2" s="1"/>
  <c r="O21" i="2"/>
  <c r="P38" i="2"/>
  <c r="P39" i="2" s="1"/>
  <c r="P37" i="2" s="1"/>
  <c r="AA6" i="1"/>
  <c r="AA17" i="1" s="1"/>
  <c r="AA19" i="1" s="1"/>
  <c r="AA29" i="1" s="1"/>
  <c r="P20" i="2"/>
  <c r="Q51" i="2"/>
  <c r="Q16" i="2" s="1"/>
  <c r="S16" i="1" l="1"/>
  <c r="S18" i="1" s="1"/>
  <c r="P40" i="2"/>
  <c r="P41" i="2" s="1"/>
  <c r="P29" i="2"/>
  <c r="Q17" i="2"/>
  <c r="Q32" i="2"/>
  <c r="Q7" i="2"/>
  <c r="S25" i="1"/>
  <c r="S20" i="1"/>
  <c r="P21" i="2"/>
  <c r="P58" i="2" s="1"/>
  <c r="P60" i="2" s="1"/>
  <c r="O22" i="2"/>
  <c r="O58" i="2"/>
  <c r="O60" i="2" s="1"/>
  <c r="Q52" i="2"/>
  <c r="P28" i="2" l="1"/>
  <c r="Q31" i="2"/>
  <c r="T7" i="1"/>
  <c r="T8" i="1"/>
  <c r="S26" i="1"/>
  <c r="S27" i="1" s="1"/>
  <c r="R6" i="2"/>
  <c r="S22" i="1"/>
  <c r="P22" i="2"/>
  <c r="AB6" i="1"/>
  <c r="AB17" i="1" s="1"/>
  <c r="AB19" i="1" s="1"/>
  <c r="AB29" i="1" s="1"/>
  <c r="Q18" i="2"/>
  <c r="Q57" i="2"/>
  <c r="Q36" i="2" l="1"/>
  <c r="Q10" i="2"/>
  <c r="T16" i="1"/>
  <c r="T18" i="1" s="1"/>
  <c r="T20" i="1" s="1"/>
  <c r="R5" i="2"/>
  <c r="S23" i="1"/>
  <c r="R15" i="2" s="1"/>
  <c r="R51" i="2"/>
  <c r="R16" i="2" s="1"/>
  <c r="R17" i="2" l="1"/>
  <c r="Q19" i="2"/>
  <c r="Q20" i="2" s="1"/>
  <c r="Q38" i="2"/>
  <c r="Q46" i="2"/>
  <c r="T25" i="1"/>
  <c r="T26" i="1" s="1"/>
  <c r="T27" i="1" s="1"/>
  <c r="R32" i="2"/>
  <c r="R31" i="2" s="1"/>
  <c r="R7" i="2"/>
  <c r="T22" i="1"/>
  <c r="S6" i="2"/>
  <c r="R52" i="2"/>
  <c r="Q40" i="2" l="1"/>
  <c r="Q41" i="2" s="1"/>
  <c r="Q29" i="2"/>
  <c r="Q39" i="2"/>
  <c r="Q37" i="2" s="1"/>
  <c r="Q21" i="2"/>
  <c r="U7" i="1"/>
  <c r="U8" i="1"/>
  <c r="T23" i="1"/>
  <c r="S15" i="2" s="1"/>
  <c r="S5" i="2"/>
  <c r="R18" i="2"/>
  <c r="R57" i="2"/>
  <c r="S51" i="2"/>
  <c r="S16" i="2" s="1"/>
  <c r="U16" i="1" l="1"/>
  <c r="U18" i="1" s="1"/>
  <c r="U25" i="1" s="1"/>
  <c r="V8" i="1" s="1"/>
  <c r="Q28" i="2"/>
  <c r="S17" i="2"/>
  <c r="Q22" i="2"/>
  <c r="Q58" i="2"/>
  <c r="Q60" i="2" s="1"/>
  <c r="R46" i="2"/>
  <c r="R10" i="2"/>
  <c r="R36" i="2"/>
  <c r="S32" i="2"/>
  <c r="S31" i="2" s="1"/>
  <c r="S7" i="2"/>
  <c r="S52" i="2"/>
  <c r="U20" i="1" l="1"/>
  <c r="U22" i="1" s="1"/>
  <c r="T5" i="2" s="1"/>
  <c r="U26" i="1"/>
  <c r="U27" i="1" s="1"/>
  <c r="V7" i="1"/>
  <c r="V16" i="1" s="1"/>
  <c r="V18" i="1" s="1"/>
  <c r="V20" i="1" s="1"/>
  <c r="R40" i="2"/>
  <c r="R41" i="2" s="1"/>
  <c r="R29" i="2"/>
  <c r="S10" i="2"/>
  <c r="R19" i="2"/>
  <c r="R20" i="2" s="1"/>
  <c r="R38" i="2"/>
  <c r="U23" i="1"/>
  <c r="T15" i="2" s="1"/>
  <c r="S18" i="2"/>
  <c r="S57" i="2"/>
  <c r="T51" i="2"/>
  <c r="T16" i="2" s="1"/>
  <c r="T6" i="2" l="1"/>
  <c r="R28" i="2"/>
  <c r="V25" i="1"/>
  <c r="V26" i="1" s="1"/>
  <c r="V27" i="1" s="1"/>
  <c r="T17" i="2"/>
  <c r="S36" i="2"/>
  <c r="S19" i="2" s="1"/>
  <c r="V22" i="1"/>
  <c r="U6" i="2"/>
  <c r="R21" i="2"/>
  <c r="R39" i="2"/>
  <c r="R37" i="2" s="1"/>
  <c r="T7" i="2"/>
  <c r="T32" i="2"/>
  <c r="T52" i="2"/>
  <c r="W8" i="1" l="1"/>
  <c r="W7" i="1"/>
  <c r="S38" i="2"/>
  <c r="S21" i="2" s="1"/>
  <c r="T31" i="2"/>
  <c r="T10" i="2" s="1"/>
  <c r="S46" i="2"/>
  <c r="R22" i="2"/>
  <c r="R58" i="2"/>
  <c r="R60" i="2" s="1"/>
  <c r="U5" i="2"/>
  <c r="V23" i="1"/>
  <c r="U15" i="2" s="1"/>
  <c r="T18" i="2"/>
  <c r="T57" i="2"/>
  <c r="S20" i="2"/>
  <c r="W16" i="1" l="1"/>
  <c r="W18" i="1" s="1"/>
  <c r="W25" i="1" s="1"/>
  <c r="S39" i="2"/>
  <c r="S37" i="2" s="1"/>
  <c r="T46" i="2"/>
  <c r="T36" i="2"/>
  <c r="T19" i="2" s="1"/>
  <c r="T20" i="2" s="1"/>
  <c r="S40" i="2"/>
  <c r="S41" i="2" s="1"/>
  <c r="S29" i="2"/>
  <c r="X7" i="1"/>
  <c r="X8" i="1"/>
  <c r="W20" i="1"/>
  <c r="W22" i="1" s="1"/>
  <c r="U32" i="2"/>
  <c r="U7" i="2"/>
  <c r="W26" i="1"/>
  <c r="W27" i="1" s="1"/>
  <c r="S22" i="2"/>
  <c r="S58" i="2"/>
  <c r="S60" i="2" s="1"/>
  <c r="U51" i="2"/>
  <c r="U16" i="2" s="1"/>
  <c r="S28" i="2" l="1"/>
  <c r="T38" i="2"/>
  <c r="T39" i="2" s="1"/>
  <c r="T37" i="2" s="1"/>
  <c r="X16" i="1"/>
  <c r="X18" i="1" s="1"/>
  <c r="X20" i="1" s="1"/>
  <c r="T40" i="2"/>
  <c r="T28" i="2" s="1"/>
  <c r="T29" i="2"/>
  <c r="U17" i="2"/>
  <c r="U31" i="2"/>
  <c r="U10" i="2" s="1"/>
  <c r="V6" i="2"/>
  <c r="W23" i="1"/>
  <c r="V15" i="2" s="1"/>
  <c r="V5" i="2"/>
  <c r="U52" i="2"/>
  <c r="T41" i="2" l="1"/>
  <c r="W6" i="2"/>
  <c r="X22" i="1"/>
  <c r="W5" i="2" s="1"/>
  <c r="X25" i="1"/>
  <c r="Y8" i="1" s="1"/>
  <c r="T21" i="2"/>
  <c r="T58" i="2" s="1"/>
  <c r="T60" i="2" s="1"/>
  <c r="U46" i="2"/>
  <c r="U36" i="2"/>
  <c r="U19" i="2" s="1"/>
  <c r="U20" i="2" s="1"/>
  <c r="V32" i="2"/>
  <c r="V7" i="2"/>
  <c r="U18" i="2"/>
  <c r="U57" i="2"/>
  <c r="T22" i="2" l="1"/>
  <c r="Y7" i="1"/>
  <c r="Y16" i="1" s="1"/>
  <c r="Y18" i="1" s="1"/>
  <c r="Y25" i="1" s="1"/>
  <c r="X23" i="1"/>
  <c r="X26" i="1"/>
  <c r="X27" i="1" s="1"/>
  <c r="U38" i="2"/>
  <c r="U21" i="2" s="1"/>
  <c r="U22" i="2" s="1"/>
  <c r="U40" i="2"/>
  <c r="U41" i="2" s="1"/>
  <c r="U29" i="2"/>
  <c r="V31" i="2"/>
  <c r="V10" i="2" s="1"/>
  <c r="W32" i="2"/>
  <c r="W31" i="2" s="1"/>
  <c r="W7" i="2"/>
  <c r="V51" i="2"/>
  <c r="V16" i="2" s="1"/>
  <c r="U58" i="2" l="1"/>
  <c r="U60" i="2" s="1"/>
  <c r="U39" i="2"/>
  <c r="U37" i="2" s="1"/>
  <c r="V46" i="2"/>
  <c r="U28" i="2"/>
  <c r="V17" i="2"/>
  <c r="V36" i="2"/>
  <c r="V19" i="2" s="1"/>
  <c r="V20" i="2" s="1"/>
  <c r="Z7" i="1"/>
  <c r="Z8" i="1"/>
  <c r="W10" i="2"/>
  <c r="Y26" i="1"/>
  <c r="Y27" i="1" s="1"/>
  <c r="Y20" i="1"/>
  <c r="W15" i="2"/>
  <c r="V52" i="2"/>
  <c r="V40" i="2" l="1"/>
  <c r="V41" i="2" s="1"/>
  <c r="V29" i="2"/>
  <c r="V38" i="2"/>
  <c r="V21" i="2" s="1"/>
  <c r="Y22" i="1"/>
  <c r="X6" i="2"/>
  <c r="Z16" i="1"/>
  <c r="Z18" i="1" s="1"/>
  <c r="Z25" i="1" s="1"/>
  <c r="V18" i="2"/>
  <c r="V57" i="2"/>
  <c r="V28" i="2" l="1"/>
  <c r="V39" i="2"/>
  <c r="V37" i="2" s="1"/>
  <c r="W46" i="2"/>
  <c r="AA7" i="1"/>
  <c r="AA8" i="1"/>
  <c r="Y23" i="1"/>
  <c r="X15" i="2" s="1"/>
  <c r="X5" i="2"/>
  <c r="Z26" i="1"/>
  <c r="Z27" i="1" s="1"/>
  <c r="Z20" i="1"/>
  <c r="W51" i="2"/>
  <c r="W16" i="2" s="1"/>
  <c r="V58" i="2"/>
  <c r="V60" i="2" s="1"/>
  <c r="V22" i="2"/>
  <c r="W40" i="2" l="1"/>
  <c r="W41" i="2" s="1"/>
  <c r="W29" i="2"/>
  <c r="W17" i="2"/>
  <c r="Z22" i="1"/>
  <c r="Y6" i="2"/>
  <c r="X32" i="2"/>
  <c r="X31" i="2" s="1"/>
  <c r="X7" i="2"/>
  <c r="W52" i="2"/>
  <c r="W36" i="2"/>
  <c r="W19" i="2" s="1"/>
  <c r="W28" i="2" l="1"/>
  <c r="X10" i="2"/>
  <c r="Z23" i="1"/>
  <c r="Y5" i="2"/>
  <c r="AA16" i="1"/>
  <c r="AA18" i="1" s="1"/>
  <c r="AA25" i="1" s="1"/>
  <c r="W18" i="2"/>
  <c r="W57" i="2"/>
  <c r="W20" i="2"/>
  <c r="W38" i="2"/>
  <c r="AB7" i="1" l="1"/>
  <c r="AB8" i="1"/>
  <c r="Y32" i="2"/>
  <c r="Y31" i="2" s="1"/>
  <c r="Y7" i="2"/>
  <c r="AA26" i="1"/>
  <c r="AA27" i="1" s="1"/>
  <c r="AA20" i="1"/>
  <c r="Y15" i="2"/>
  <c r="W39" i="2"/>
  <c r="W37" i="2" s="1"/>
  <c r="W21" i="2"/>
  <c r="AA51" i="2"/>
  <c r="AA16" i="2" s="1"/>
  <c r="AA17" i="2" l="1"/>
  <c r="X46" i="2"/>
  <c r="AA22" i="1"/>
  <c r="Z6" i="2"/>
  <c r="Y10" i="2"/>
  <c r="X36" i="2"/>
  <c r="AA52" i="2"/>
  <c r="W58" i="2"/>
  <c r="W60" i="2" s="1"/>
  <c r="W22" i="2"/>
  <c r="X40" i="2" l="1"/>
  <c r="X41" i="2" s="1"/>
  <c r="X29" i="2"/>
  <c r="AA23" i="1"/>
  <c r="Z5" i="2"/>
  <c r="X38" i="2"/>
  <c r="X19" i="2"/>
  <c r="X20" i="2" s="1"/>
  <c r="AA18" i="2"/>
  <c r="AA57" i="2"/>
  <c r="X28" i="2" l="1"/>
  <c r="Y46" i="2"/>
  <c r="Z32" i="2"/>
  <c r="Z31" i="2" s="1"/>
  <c r="Z7" i="2"/>
  <c r="AB16" i="1"/>
  <c r="AB18" i="1" s="1"/>
  <c r="AB25" i="1" s="1"/>
  <c r="Z15" i="2"/>
  <c r="X39" i="2"/>
  <c r="X37" i="2" s="1"/>
  <c r="X21" i="2"/>
  <c r="Y40" i="2" l="1"/>
  <c r="Y41" i="2" s="1"/>
  <c r="Y29" i="2"/>
  <c r="Z10" i="2"/>
  <c r="AB20" i="1"/>
  <c r="AB26" i="1"/>
  <c r="AB27" i="1" s="1"/>
  <c r="X22" i="2"/>
  <c r="X58" i="2"/>
  <c r="X60" i="2" s="1"/>
  <c r="Y36" i="2"/>
  <c r="Y28" i="2" l="1"/>
  <c r="AB22" i="1"/>
  <c r="AA6" i="2"/>
  <c r="Y38" i="2"/>
  <c r="Y19" i="2"/>
  <c r="Y20" i="2" s="1"/>
  <c r="Z46" i="2" l="1"/>
  <c r="AB23" i="1"/>
  <c r="AA15" i="2" s="1"/>
  <c r="AA5" i="2"/>
  <c r="Z36" i="2"/>
  <c r="Y39" i="2"/>
  <c r="Y37" i="2" s="1"/>
  <c r="Y21" i="2"/>
  <c r="D36" i="2"/>
  <c r="D19" i="2" s="1"/>
  <c r="Z40" i="2" l="1"/>
  <c r="Z28" i="2" s="1"/>
  <c r="Z29" i="2"/>
  <c r="AA32" i="2"/>
  <c r="AA31" i="2" s="1"/>
  <c r="AA7" i="2"/>
  <c r="Z19" i="2"/>
  <c r="Z20" i="2" s="1"/>
  <c r="Z38" i="2"/>
  <c r="Y58" i="2"/>
  <c r="Y60" i="2" s="1"/>
  <c r="Y22" i="2"/>
  <c r="D20" i="2"/>
  <c r="D38" i="2"/>
  <c r="D21" i="2" s="1"/>
  <c r="D37" i="2"/>
  <c r="D39" i="2" s="1"/>
  <c r="Z41" i="2" l="1"/>
  <c r="AA10" i="2"/>
  <c r="Z39" i="2"/>
  <c r="Z37" i="2" s="1"/>
  <c r="Z21" i="2"/>
  <c r="D22" i="2"/>
  <c r="D58" i="2"/>
  <c r="D60" i="2" s="1"/>
  <c r="E36" i="2"/>
  <c r="E19" i="2" s="1"/>
  <c r="E14" i="2"/>
  <c r="E33" i="2"/>
  <c r="AA36" i="2" l="1"/>
  <c r="AA19" i="2" s="1"/>
  <c r="AA20" i="2" s="1"/>
  <c r="Z22" i="2"/>
  <c r="Z58" i="2"/>
  <c r="Z60" i="2" s="1"/>
  <c r="Z24" i="2"/>
  <c r="X24" i="2"/>
  <c r="Y24" i="2"/>
  <c r="N24" i="2"/>
  <c r="M24" i="2"/>
  <c r="K24" i="2"/>
  <c r="P24" i="2"/>
  <c r="T24" i="2"/>
  <c r="R24" i="2"/>
  <c r="Q24" i="2"/>
  <c r="W24" i="2"/>
  <c r="L24" i="2"/>
  <c r="J24" i="2"/>
  <c r="I24" i="2"/>
  <c r="V24" i="2"/>
  <c r="U24" i="2"/>
  <c r="S24" i="2"/>
  <c r="O24" i="2"/>
  <c r="E20" i="2"/>
  <c r="E38" i="2"/>
  <c r="E21" i="2" s="1"/>
  <c r="E37" i="2"/>
  <c r="E39" i="2" s="1"/>
  <c r="AA46" i="2" l="1"/>
  <c r="AA38" i="2"/>
  <c r="AA21" i="2" s="1"/>
  <c r="G24" i="2"/>
  <c r="F24" i="2"/>
  <c r="F13" i="2"/>
  <c r="H24" i="2"/>
  <c r="E22" i="2"/>
  <c r="E58" i="2"/>
  <c r="E60" i="2" s="1"/>
  <c r="AA40" i="2" l="1"/>
  <c r="AA41" i="2" s="1"/>
  <c r="AA24" i="2" s="1"/>
  <c r="AA29" i="2"/>
  <c r="AA28" i="2"/>
  <c r="AA39" i="2"/>
  <c r="AA37" i="2" s="1"/>
  <c r="AA22" i="2"/>
  <c r="AA58" i="2"/>
  <c r="AA60" i="2" s="1"/>
  <c r="H11" i="2"/>
  <c r="I11" i="2" l="1"/>
  <c r="H12" i="2"/>
  <c r="H13" i="2" s="1"/>
  <c r="G14" i="2"/>
  <c r="J11" i="2" l="1"/>
  <c r="I12" i="2"/>
  <c r="H14" i="2"/>
  <c r="I23" i="2"/>
  <c r="X23" i="2"/>
  <c r="G23" i="2"/>
  <c r="R23" i="2"/>
  <c r="U23" i="2"/>
  <c r="H23" i="2"/>
  <c r="O23" i="2"/>
  <c r="Z23" i="2"/>
  <c r="Q23" i="2"/>
  <c r="S23" i="2"/>
  <c r="W23" i="2"/>
  <c r="E23" i="2"/>
  <c r="L23" i="2"/>
  <c r="P23" i="2"/>
  <c r="Y23" i="2"/>
  <c r="N23" i="2"/>
  <c r="T23" i="2"/>
  <c r="V23" i="2"/>
  <c r="M23" i="2"/>
  <c r="AA23" i="2"/>
  <c r="K23" i="2"/>
  <c r="J23" i="2"/>
  <c r="F40" i="2"/>
  <c r="I14" i="2" l="1"/>
  <c r="J12" i="2"/>
  <c r="I13" i="2"/>
  <c r="K11" i="2"/>
  <c r="F23" i="2"/>
  <c r="G69" i="2"/>
  <c r="K12" i="2" l="1"/>
  <c r="J14" i="2"/>
  <c r="J13" i="2"/>
  <c r="L11" i="2"/>
  <c r="M11" i="2" l="1"/>
  <c r="L12" i="2"/>
  <c r="L13" i="2" s="1"/>
  <c r="K14" i="2"/>
  <c r="K13" i="2"/>
  <c r="N11" i="2" l="1"/>
  <c r="M12" i="2"/>
  <c r="L14" i="2"/>
  <c r="N12" i="2" l="1"/>
  <c r="M14" i="2"/>
  <c r="O11" i="2"/>
  <c r="M13" i="2"/>
  <c r="O12" i="2" l="1"/>
  <c r="N14" i="2"/>
  <c r="N13" i="2"/>
  <c r="P11" i="2"/>
  <c r="Q11" i="2" l="1"/>
  <c r="P12" i="2"/>
  <c r="P13" i="2" s="1"/>
  <c r="O14" i="2"/>
  <c r="O13" i="2"/>
  <c r="R11" i="2" l="1"/>
  <c r="Q12" i="2"/>
  <c r="P14" i="2"/>
  <c r="Q14" i="2" l="1"/>
  <c r="R12" i="2"/>
  <c r="S11" i="2"/>
  <c r="Q13" i="2"/>
  <c r="S12" i="2" l="1"/>
  <c r="S13" i="2" s="1"/>
  <c r="R14" i="2"/>
  <c r="R13" i="2"/>
  <c r="T11" i="2"/>
  <c r="U11" i="2" l="1"/>
  <c r="T12" i="2"/>
  <c r="S14" i="2"/>
  <c r="U12" i="2" l="1"/>
  <c r="T14" i="2"/>
  <c r="T13" i="2"/>
  <c r="U13" i="2"/>
  <c r="V11" i="2"/>
  <c r="W11" i="2" s="1"/>
  <c r="X11" i="2" l="1"/>
  <c r="V12" i="2"/>
  <c r="U14" i="2"/>
  <c r="V13" i="2" l="1"/>
  <c r="W12" i="2"/>
  <c r="V14" i="2"/>
  <c r="Y11" i="2"/>
  <c r="Z11" i="2" l="1"/>
  <c r="X12" i="2"/>
  <c r="W14" i="2"/>
  <c r="W13" i="2"/>
  <c r="Y12" i="2" l="1"/>
  <c r="X14" i="2"/>
  <c r="X13" i="2"/>
  <c r="AA11" i="2"/>
  <c r="Z12" i="2" l="1"/>
  <c r="Y14" i="2"/>
  <c r="Y13" i="2"/>
  <c r="AA12" i="2" l="1"/>
  <c r="Z14" i="2"/>
  <c r="Z13" i="2"/>
  <c r="AA14" i="2" l="1"/>
  <c r="AA13" i="2"/>
</calcChain>
</file>

<file path=xl/sharedStrings.xml><?xml version="1.0" encoding="utf-8"?>
<sst xmlns="http://schemas.openxmlformats.org/spreadsheetml/2006/main" count="147" uniqueCount="91">
  <si>
    <t>Specificatie</t>
  </si>
  <si>
    <t>TJ/an</t>
  </si>
  <si>
    <t>Reducere consum de caldura ca urmare a debransarii de apartamente</t>
  </si>
  <si>
    <t>Reducere consum ca urmare a izolarii termice a locuintelor</t>
  </si>
  <si>
    <t>Tj/an</t>
  </si>
  <si>
    <t>ap.</t>
  </si>
  <si>
    <t>nr</t>
  </si>
  <si>
    <t>Total reducere consum energie termica casnici</t>
  </si>
  <si>
    <t>Gcal/an</t>
  </si>
  <si>
    <t>Consum /apartament si an</t>
  </si>
  <si>
    <t>TJ/an si ap.</t>
  </si>
  <si>
    <t>Gcal/an si ap</t>
  </si>
  <si>
    <t>KWh/mp si an</t>
  </si>
  <si>
    <t>SACET</t>
  </si>
  <si>
    <t>Energie termica produsa in SACET</t>
  </si>
  <si>
    <t>TJ</t>
  </si>
  <si>
    <t>Pierderi in retele termice</t>
  </si>
  <si>
    <t>%</t>
  </si>
  <si>
    <t>GWh</t>
  </si>
  <si>
    <t>Tj</t>
  </si>
  <si>
    <t>1000mc</t>
  </si>
  <si>
    <t>Energie electrica produsa</t>
  </si>
  <si>
    <t>Energie termica produsa</t>
  </si>
  <si>
    <t>kt</t>
  </si>
  <si>
    <t xml:space="preserve">    - Consum de gaze naturale pentru producere energie termica</t>
  </si>
  <si>
    <t>Cazan apa fierbinte</t>
  </si>
  <si>
    <t xml:space="preserve">         - pentru producerea energiei termice</t>
  </si>
  <si>
    <t>Energie electrica produsa SACET</t>
  </si>
  <si>
    <t>t CO2/TJ</t>
  </si>
  <si>
    <t>t</t>
  </si>
  <si>
    <t>Consum de combustibil</t>
  </si>
  <si>
    <t xml:space="preserve">         - pentru producere energie termica</t>
  </si>
  <si>
    <t>TJ/consumator</t>
  </si>
  <si>
    <t>GWH</t>
  </si>
  <si>
    <t>Emisii</t>
  </si>
  <si>
    <t xml:space="preserve">Factor </t>
  </si>
  <si>
    <t>emisie</t>
  </si>
  <si>
    <t>Pierderi in retelele termice</t>
  </si>
  <si>
    <t>Total energie termica produsa</t>
  </si>
  <si>
    <t>Cogenerare</t>
  </si>
  <si>
    <t xml:space="preserve">   - Consum gaze naturale pentru producere energie electrica</t>
  </si>
  <si>
    <t>MWPCS</t>
  </si>
  <si>
    <t xml:space="preserve">         - pentru producerea energiei electrice</t>
  </si>
  <si>
    <t>Kt CO2</t>
  </si>
  <si>
    <t>Consumatori C1</t>
  </si>
  <si>
    <t>Consuamtori C2</t>
  </si>
  <si>
    <t>Total emisii CO2</t>
  </si>
  <si>
    <t>Gaze naturale</t>
  </si>
  <si>
    <t>Pacura</t>
  </si>
  <si>
    <t>Total consum energie termica casnici</t>
  </si>
  <si>
    <t xml:space="preserve">             - Consum din productie proprie</t>
  </si>
  <si>
    <t xml:space="preserve">             - Consum din SEN (cumparata)</t>
  </si>
  <si>
    <t>Reducere consum de caldura ca urmare a debransarii ag. economici si institutii publice</t>
  </si>
  <si>
    <t>Reducere consum ca urmare a izolarii termice a cladirilor aferente consumatorilor non-casnici</t>
  </si>
  <si>
    <t>Total consum caldura non - casnici</t>
  </si>
  <si>
    <t>Total consum caldura casnici si non - casnici</t>
  </si>
  <si>
    <t>Consum consumatori non - casnici/an</t>
  </si>
  <si>
    <t>Cantitate de energie termica consumata/vanduta</t>
  </si>
  <si>
    <t>Consum de combustibil - gaze naturale</t>
  </si>
  <si>
    <t>Consum de combustibil pentru producera energiei termice - gaze naturale</t>
  </si>
  <si>
    <t>Numar apartamente debransate</t>
  </si>
  <si>
    <t>Total consum de combustibil - gaze naturale:</t>
  </si>
  <si>
    <t xml:space="preserve">           - pentru producere energie electrica</t>
  </si>
  <si>
    <t xml:space="preserve">           - pentru producere energie termica</t>
  </si>
  <si>
    <t>Emisii CO2 - gaze naturale pentru producerea energiei termice</t>
  </si>
  <si>
    <t>Emisii CO2 - pacura pentru producere energie termica</t>
  </si>
  <si>
    <t xml:space="preserve">Certificate alocate gratuit </t>
  </si>
  <si>
    <t>Total reducere consum energie termica non - casnici</t>
  </si>
  <si>
    <t>Estimare nr. apartamente conectate</t>
  </si>
  <si>
    <t>Total apartamente</t>
  </si>
  <si>
    <t>Estimare nr. consumatori non - casnici ce se branseaza/rebranseaza</t>
  </si>
  <si>
    <t>Estimare nr. consumatori non - casnici ce se debranseaza</t>
  </si>
  <si>
    <t>Estimarea nr. de apartamente ce se debranseaza</t>
  </si>
  <si>
    <t>Consumatori C1 - consumatori casnici - apartamente afectate</t>
  </si>
  <si>
    <t>Consumatori C2 - consumatori casnici - apartamente neafectate de lucrari</t>
  </si>
  <si>
    <t>Estimare consumatori non - casnici, inclusiv case particulare</t>
  </si>
  <si>
    <t>Total energie electrica livrata in sistem</t>
  </si>
  <si>
    <t>Consum combustibil pentru producere energie termica - biomasa</t>
  </si>
  <si>
    <t xml:space="preserve">Consum de biomasa </t>
  </si>
  <si>
    <t>Energie termica + electrica produsa</t>
  </si>
  <si>
    <t>Consum biomasa Tj/t</t>
  </si>
  <si>
    <t>Total consum combustibil - biomasa</t>
  </si>
  <si>
    <t>Consum energie electrica in CET, din care</t>
  </si>
  <si>
    <t xml:space="preserve">Emisii CO2 - gaze naturale </t>
  </si>
  <si>
    <t>Consum energie electrica pentru pompare apa fierbinte si consum punct termic - cumparata din SEN</t>
  </si>
  <si>
    <t>Consum biomasa t/Gwh an 2021</t>
  </si>
  <si>
    <t>Estimare nr. apartamente ce se branseaza</t>
  </si>
  <si>
    <t>An 2022</t>
  </si>
  <si>
    <t>Total consum combustibil - gaze naturale + biomasa</t>
  </si>
  <si>
    <t>Anexa 4 - Evoluție consum si producţie în varianta "cu proiect"</t>
  </si>
  <si>
    <t>Anexa 3 - Evoluția consumului de căldură în varianta "cu proiect"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</si>
</sst>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0.0"/>
    <numFmt numFmtId="166" formatCode="0.000"/>
    <numFmt numFmtId="167" formatCode="#,##0.0"/>
    <numFmt numFmtId="168" formatCode="0.0000"/>
    <numFmt numFmtId="169" formatCode="#,##0.000"/>
    <numFmt numFmtId="170" formatCode="#,##0.0000"/>
    <numFmt numFmtId="171" formatCode="#,##0.00000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i/>
      <sz val="11"/>
      <name val="Calibri"/>
      <family val="2"/>
      <scheme val="minor"/>
    </font>
    <font>
      <sz val="2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5" fillId="0" borderId="0"/>
    <xf numFmtId="0" fontId="5" fillId="0" borderId="0"/>
    <xf numFmtId="0" fontId="5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4" fillId="0" borderId="0" applyFont="0" applyFill="0" applyBorder="0" applyAlignment="0" applyProtection="0"/>
  </cellStyleXfs>
  <cellXfs count="134">
    <xf numFmtId="0" fontId="0" fillId="0" borderId="0" xfId="0"/>
    <xf numFmtId="0" fontId="1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167" fontId="8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167" fontId="10" fillId="0" borderId="1" xfId="0" applyNumberFormat="1" applyFont="1" applyBorder="1" applyAlignment="1">
      <alignment horizontal="center" vertical="center"/>
    </xf>
    <xf numFmtId="166" fontId="10" fillId="0" borderId="0" xfId="0" applyNumberFormat="1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166" fontId="10" fillId="0" borderId="0" xfId="0" applyNumberFormat="1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167" fontId="10" fillId="3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/>
    <xf numFmtId="0" fontId="8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center" vertical="center"/>
    </xf>
    <xf numFmtId="167" fontId="8" fillId="4" borderId="1" xfId="0" applyNumberFormat="1" applyFont="1" applyFill="1" applyBorder="1" applyAlignment="1">
      <alignment horizontal="center" vertical="center"/>
    </xf>
    <xf numFmtId="0" fontId="8" fillId="4" borderId="0" xfId="0" applyFont="1" applyFill="1"/>
    <xf numFmtId="169" fontId="8" fillId="4" borderId="1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left" vertical="center"/>
    </xf>
    <xf numFmtId="0" fontId="7" fillId="5" borderId="0" xfId="0" applyFont="1" applyFill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8" fillId="5" borderId="1" xfId="1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left" vertical="center" wrapText="1"/>
    </xf>
    <xf numFmtId="0" fontId="8" fillId="5" borderId="1" xfId="1" applyFont="1" applyFill="1" applyBorder="1" applyAlignment="1">
      <alignment horizontal="center" vertical="center" wrapText="1"/>
    </xf>
    <xf numFmtId="2" fontId="1" fillId="5" borderId="1" xfId="0" applyNumberFormat="1" applyFont="1" applyFill="1" applyBorder="1" applyAlignment="1">
      <alignment horizontal="center" vertical="center"/>
    </xf>
    <xf numFmtId="166" fontId="1" fillId="5" borderId="1" xfId="0" applyNumberFormat="1" applyFont="1" applyFill="1" applyBorder="1" applyAlignment="1">
      <alignment horizontal="center" vertical="center"/>
    </xf>
    <xf numFmtId="170" fontId="1" fillId="5" borderId="1" xfId="0" applyNumberFormat="1" applyFont="1" applyFill="1" applyBorder="1" applyAlignment="1">
      <alignment horizontal="center" vertical="center"/>
    </xf>
    <xf numFmtId="3" fontId="1" fillId="5" borderId="1" xfId="0" applyNumberFormat="1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68" fontId="1" fillId="5" borderId="1" xfId="0" applyNumberFormat="1" applyFont="1" applyFill="1" applyBorder="1" applyAlignment="1">
      <alignment horizontal="center" vertical="center"/>
    </xf>
    <xf numFmtId="3" fontId="8" fillId="5" borderId="1" xfId="0" applyNumberFormat="1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7" fillId="5" borderId="1" xfId="1" applyFont="1" applyFill="1" applyBorder="1" applyAlignment="1">
      <alignment horizontal="left" vertical="center" wrapText="1"/>
    </xf>
    <xf numFmtId="0" fontId="7" fillId="5" borderId="1" xfId="1" applyFont="1" applyFill="1" applyBorder="1" applyAlignment="1">
      <alignment horizontal="center" vertical="center" wrapText="1"/>
    </xf>
    <xf numFmtId="167" fontId="1" fillId="5" borderId="1" xfId="0" applyNumberFormat="1" applyFont="1" applyFill="1" applyBorder="1" applyAlignment="1">
      <alignment horizontal="center" vertical="center"/>
    </xf>
    <xf numFmtId="4" fontId="1" fillId="5" borderId="1" xfId="0" applyNumberFormat="1" applyFont="1" applyFill="1" applyBorder="1" applyAlignment="1">
      <alignment horizontal="center" vertical="center"/>
    </xf>
    <xf numFmtId="2" fontId="1" fillId="5" borderId="0" xfId="0" applyNumberFormat="1" applyFont="1" applyFill="1" applyAlignment="1">
      <alignment horizontal="center" vertical="center"/>
    </xf>
    <xf numFmtId="167" fontId="6" fillId="5" borderId="1" xfId="2" applyNumberFormat="1" applyFont="1" applyFill="1" applyBorder="1" applyAlignment="1">
      <alignment horizontal="center" vertical="center"/>
    </xf>
    <xf numFmtId="167" fontId="6" fillId="5" borderId="1" xfId="3" applyNumberFormat="1" applyFont="1" applyFill="1" applyBorder="1" applyAlignment="1">
      <alignment horizontal="center" vertical="center"/>
    </xf>
    <xf numFmtId="167" fontId="6" fillId="5" borderId="1" xfId="4" applyNumberFormat="1" applyFont="1" applyFill="1" applyBorder="1" applyAlignment="1">
      <alignment horizontal="center" vertical="center"/>
    </xf>
    <xf numFmtId="2" fontId="6" fillId="5" borderId="0" xfId="4" applyNumberFormat="1" applyFont="1" applyFill="1" applyAlignment="1">
      <alignment horizontal="center" vertical="center"/>
    </xf>
    <xf numFmtId="0" fontId="9" fillId="5" borderId="1" xfId="1" applyFont="1" applyFill="1" applyBorder="1" applyAlignment="1">
      <alignment horizontal="left" vertical="center" wrapText="1"/>
    </xf>
    <xf numFmtId="0" fontId="9" fillId="5" borderId="1" xfId="1" applyFont="1" applyFill="1" applyBorder="1" applyAlignment="1">
      <alignment horizontal="center" vertical="center" wrapText="1"/>
    </xf>
    <xf numFmtId="167" fontId="7" fillId="5" borderId="1" xfId="0" applyNumberFormat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left" vertical="center"/>
    </xf>
    <xf numFmtId="0" fontId="9" fillId="5" borderId="1" xfId="1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left" vertical="center"/>
    </xf>
    <xf numFmtId="169" fontId="1" fillId="5" borderId="1" xfId="0" applyNumberFormat="1" applyFont="1" applyFill="1" applyBorder="1" applyAlignment="1">
      <alignment horizontal="center" vertical="center"/>
    </xf>
    <xf numFmtId="3" fontId="8" fillId="5" borderId="1" xfId="1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3" fontId="8" fillId="5" borderId="1" xfId="2" applyNumberFormat="1" applyFont="1" applyFill="1" applyBorder="1" applyAlignment="1">
      <alignment horizontal="center" vertical="center"/>
    </xf>
    <xf numFmtId="10" fontId="1" fillId="5" borderId="0" xfId="10" applyNumberFormat="1" applyFon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167" fontId="6" fillId="5" borderId="0" xfId="0" applyNumberFormat="1" applyFont="1" applyFill="1" applyAlignment="1">
      <alignment horizontal="center" vertical="center"/>
    </xf>
    <xf numFmtId="4" fontId="6" fillId="5" borderId="0" xfId="0" applyNumberFormat="1" applyFont="1" applyFill="1" applyAlignment="1">
      <alignment horizontal="center" vertical="center"/>
    </xf>
    <xf numFmtId="3" fontId="6" fillId="5" borderId="0" xfId="0" applyNumberFormat="1" applyFont="1" applyFill="1" applyAlignment="1">
      <alignment horizontal="center" vertical="center"/>
    </xf>
    <xf numFmtId="0" fontId="10" fillId="5" borderId="1" xfId="0" applyFont="1" applyFill="1" applyBorder="1" applyAlignment="1">
      <alignment horizontal="left" vertical="center" wrapText="1"/>
    </xf>
    <xf numFmtId="165" fontId="1" fillId="5" borderId="0" xfId="0" applyNumberFormat="1" applyFont="1" applyFill="1" applyAlignment="1">
      <alignment horizontal="center" vertical="center"/>
    </xf>
    <xf numFmtId="9" fontId="1" fillId="5" borderId="0" xfId="0" applyNumberFormat="1" applyFont="1" applyFill="1" applyAlignment="1">
      <alignment horizontal="center" vertical="center"/>
    </xf>
    <xf numFmtId="3" fontId="1" fillId="5" borderId="0" xfId="0" applyNumberFormat="1" applyFont="1" applyFill="1" applyAlignment="1">
      <alignment horizontal="center" vertical="center"/>
    </xf>
    <xf numFmtId="168" fontId="1" fillId="5" borderId="0" xfId="0" applyNumberFormat="1" applyFont="1" applyFill="1" applyAlignment="1">
      <alignment horizontal="center" vertical="center"/>
    </xf>
    <xf numFmtId="2" fontId="1" fillId="5" borderId="0" xfId="4" applyNumberFormat="1" applyFont="1" applyFill="1" applyAlignment="1">
      <alignment horizontal="center" vertical="center"/>
    </xf>
    <xf numFmtId="167" fontId="1" fillId="5" borderId="0" xfId="0" applyNumberFormat="1" applyFont="1" applyFill="1" applyAlignment="1">
      <alignment horizontal="center" vertical="center"/>
    </xf>
    <xf numFmtId="0" fontId="10" fillId="5" borderId="0" xfId="0" applyFont="1" applyFill="1"/>
    <xf numFmtId="0" fontId="10" fillId="5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left" vertical="center"/>
    </xf>
    <xf numFmtId="0" fontId="13" fillId="5" borderId="0" xfId="0" applyFont="1" applyFill="1" applyAlignment="1">
      <alignment horizontal="center" vertical="center"/>
    </xf>
    <xf numFmtId="0" fontId="9" fillId="5" borderId="1" xfId="0" applyFont="1" applyFill="1" applyBorder="1"/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5" borderId="0" xfId="0" applyFont="1" applyFill="1"/>
    <xf numFmtId="0" fontId="8" fillId="5" borderId="1" xfId="0" applyFont="1" applyFill="1" applyBorder="1"/>
    <xf numFmtId="0" fontId="8" fillId="5" borderId="1" xfId="0" applyFont="1" applyFill="1" applyBorder="1" applyAlignment="1">
      <alignment wrapText="1"/>
    </xf>
    <xf numFmtId="167" fontId="8" fillId="5" borderId="1" xfId="0" applyNumberFormat="1" applyFont="1" applyFill="1" applyBorder="1" applyAlignment="1">
      <alignment horizontal="center" vertical="center"/>
    </xf>
    <xf numFmtId="0" fontId="8" fillId="5" borderId="0" xfId="0" applyFont="1" applyFill="1"/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wrapText="1"/>
    </xf>
    <xf numFmtId="0" fontId="10" fillId="5" borderId="1" xfId="0" applyFont="1" applyFill="1" applyBorder="1"/>
    <xf numFmtId="0" fontId="10" fillId="5" borderId="1" xfId="0" applyFont="1" applyFill="1" applyBorder="1" applyAlignment="1">
      <alignment wrapText="1"/>
    </xf>
    <xf numFmtId="0" fontId="10" fillId="5" borderId="1" xfId="0" applyFont="1" applyFill="1" applyBorder="1" applyAlignment="1">
      <alignment horizontal="center" vertical="center"/>
    </xf>
    <xf numFmtId="169" fontId="10" fillId="5" borderId="1" xfId="0" applyNumberFormat="1" applyFont="1" applyFill="1" applyBorder="1" applyAlignment="1">
      <alignment horizontal="center" vertical="center"/>
    </xf>
    <xf numFmtId="167" fontId="10" fillId="5" borderId="1" xfId="0" applyNumberFormat="1" applyFont="1" applyFill="1" applyBorder="1" applyAlignment="1">
      <alignment horizontal="center" vertical="center"/>
    </xf>
    <xf numFmtId="4" fontId="8" fillId="5" borderId="1" xfId="0" applyNumberFormat="1" applyFont="1" applyFill="1" applyBorder="1" applyAlignment="1">
      <alignment horizontal="center" vertical="center"/>
    </xf>
    <xf numFmtId="165" fontId="8" fillId="5" borderId="0" xfId="0" applyNumberFormat="1" applyFont="1" applyFill="1"/>
    <xf numFmtId="167" fontId="12" fillId="5" borderId="1" xfId="5" applyNumberFormat="1" applyFont="1" applyFill="1" applyBorder="1" applyAlignment="1">
      <alignment horizontal="center" vertical="center"/>
    </xf>
    <xf numFmtId="165" fontId="10" fillId="5" borderId="0" xfId="0" applyNumberFormat="1" applyFont="1" applyFill="1"/>
    <xf numFmtId="0" fontId="9" fillId="5" borderId="1" xfId="0" applyFont="1" applyFill="1" applyBorder="1" applyAlignment="1">
      <alignment wrapText="1"/>
    </xf>
    <xf numFmtId="167" fontId="10" fillId="5" borderId="1" xfId="0" applyNumberFormat="1" applyFont="1" applyFill="1" applyBorder="1" applyAlignment="1">
      <alignment horizontal="center" vertical="center" wrapText="1"/>
    </xf>
    <xf numFmtId="167" fontId="8" fillId="5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/>
    <xf numFmtId="167" fontId="13" fillId="5" borderId="1" xfId="0" applyNumberFormat="1" applyFont="1" applyFill="1" applyBorder="1" applyAlignment="1">
      <alignment horizontal="center" vertical="center" wrapText="1"/>
    </xf>
    <xf numFmtId="167" fontId="13" fillId="5" borderId="1" xfId="0" applyNumberFormat="1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center" vertical="center"/>
    </xf>
    <xf numFmtId="167" fontId="9" fillId="5" borderId="1" xfId="0" applyNumberFormat="1" applyFont="1" applyFill="1" applyBorder="1" applyAlignment="1">
      <alignment horizontal="center" vertical="center"/>
    </xf>
    <xf numFmtId="0" fontId="13" fillId="5" borderId="0" xfId="0" applyFont="1" applyFill="1"/>
    <xf numFmtId="0" fontId="13" fillId="5" borderId="1" xfId="0" applyFont="1" applyFill="1" applyBorder="1" applyAlignment="1">
      <alignment wrapText="1"/>
    </xf>
    <xf numFmtId="167" fontId="10" fillId="5" borderId="0" xfId="0" applyNumberFormat="1" applyFont="1" applyFill="1" applyAlignment="1">
      <alignment horizontal="center" vertical="center"/>
    </xf>
    <xf numFmtId="0" fontId="10" fillId="5" borderId="0" xfId="0" applyFont="1" applyFill="1" applyAlignment="1">
      <alignment wrapText="1"/>
    </xf>
    <xf numFmtId="1" fontId="10" fillId="5" borderId="0" xfId="0" applyNumberFormat="1" applyFont="1" applyFill="1" applyAlignment="1">
      <alignment horizontal="center" vertical="center"/>
    </xf>
    <xf numFmtId="166" fontId="10" fillId="5" borderId="0" xfId="0" applyNumberFormat="1" applyFont="1" applyFill="1" applyAlignment="1">
      <alignment horizontal="center" vertical="center"/>
    </xf>
    <xf numFmtId="2" fontId="10" fillId="5" borderId="0" xfId="0" applyNumberFormat="1" applyFont="1" applyFill="1"/>
    <xf numFmtId="171" fontId="10" fillId="5" borderId="1" xfId="0" applyNumberFormat="1" applyFont="1" applyFill="1" applyBorder="1" applyAlignment="1">
      <alignment horizontal="center" vertical="center"/>
    </xf>
    <xf numFmtId="2" fontId="13" fillId="5" borderId="0" xfId="0" applyNumberFormat="1" applyFont="1" applyFill="1" applyAlignment="1">
      <alignment horizontal="center" vertical="center"/>
    </xf>
    <xf numFmtId="2" fontId="13" fillId="5" borderId="0" xfId="0" applyNumberFormat="1" applyFont="1" applyFill="1"/>
    <xf numFmtId="165" fontId="13" fillId="5" borderId="0" xfId="0" applyNumberFormat="1" applyFont="1" applyFill="1" applyAlignment="1">
      <alignment horizontal="center" vertical="center"/>
    </xf>
    <xf numFmtId="2" fontId="10" fillId="5" borderId="0" xfId="0" applyNumberFormat="1" applyFont="1" applyFill="1" applyAlignment="1">
      <alignment horizontal="center" vertical="center"/>
    </xf>
    <xf numFmtId="9" fontId="10" fillId="5" borderId="0" xfId="10" applyFont="1" applyFill="1"/>
    <xf numFmtId="165" fontId="10" fillId="5" borderId="0" xfId="0" applyNumberFormat="1" applyFont="1" applyFill="1" applyAlignment="1">
      <alignment horizontal="center" vertical="center"/>
    </xf>
    <xf numFmtId="10" fontId="10" fillId="5" borderId="0" xfId="0" applyNumberFormat="1" applyFont="1" applyFill="1" applyAlignment="1">
      <alignment horizontal="center" vertical="center"/>
    </xf>
    <xf numFmtId="0" fontId="10" fillId="5" borderId="0" xfId="1" applyFont="1" applyFill="1"/>
    <xf numFmtId="0" fontId="10" fillId="5" borderId="0" xfId="1" applyFont="1" applyFill="1" applyAlignment="1">
      <alignment horizontal="center" vertical="center"/>
    </xf>
    <xf numFmtId="167" fontId="10" fillId="5" borderId="0" xfId="1" applyNumberFormat="1" applyFont="1" applyFill="1" applyAlignment="1">
      <alignment horizontal="center" vertical="center"/>
    </xf>
    <xf numFmtId="168" fontId="10" fillId="5" borderId="0" xfId="0" applyNumberFormat="1" applyFont="1" applyFill="1" applyAlignment="1">
      <alignment horizontal="center" vertical="center"/>
    </xf>
  </cellXfs>
  <cellStyles count="11">
    <cellStyle name="Normal" xfId="0" builtinId="0"/>
    <cellStyle name="Normal 2" xfId="1" xr:uid="{00000000-0005-0000-0000-000001000000}"/>
    <cellStyle name="Normal 3" xfId="2" xr:uid="{00000000-0005-0000-0000-000002000000}"/>
    <cellStyle name="Normal 3 2" xfId="7" xr:uid="{00000000-0005-0000-0000-000003000000}"/>
    <cellStyle name="Normal 4" xfId="3" xr:uid="{00000000-0005-0000-0000-000004000000}"/>
    <cellStyle name="Normal 4 2" xfId="8" xr:uid="{00000000-0005-0000-0000-000005000000}"/>
    <cellStyle name="Normal 5" xfId="4" xr:uid="{00000000-0005-0000-0000-000006000000}"/>
    <cellStyle name="Normal 5 2" xfId="9" xr:uid="{00000000-0005-0000-0000-000007000000}"/>
    <cellStyle name="Procent" xfId="10" builtinId="5"/>
    <cellStyle name="Procent 2" xfId="5" xr:uid="{00000000-0005-0000-0000-000008000000}"/>
    <cellStyle name="Virgulă 2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68"/>
  <sheetViews>
    <sheetView tabSelected="1" topLeftCell="Z1" zoomScale="85" zoomScaleNormal="85" workbookViewId="0">
      <selection activeCell="AD22" sqref="AD22"/>
    </sheetView>
  </sheetViews>
  <sheetFormatPr defaultColWidth="9.28515625" defaultRowHeight="15" x14ac:dyDescent="0.25"/>
  <cols>
    <col min="1" max="1" width="3.5703125" style="1" bestFit="1" customWidth="1"/>
    <col min="2" max="2" width="46.85546875" style="1" customWidth="1"/>
    <col min="3" max="3" width="15.140625" style="1" customWidth="1"/>
    <col min="4" max="4" width="10.7109375" style="1" hidden="1" customWidth="1"/>
    <col min="5" max="5" width="11.42578125" style="1" hidden="1" customWidth="1"/>
    <col min="6" max="6" width="10.85546875" style="17" hidden="1" customWidth="1"/>
    <col min="7" max="7" width="10.42578125" style="17" hidden="1" customWidth="1"/>
    <col min="8" max="12" width="10.42578125" style="1" bestFit="1" customWidth="1"/>
    <col min="13" max="13" width="10.42578125" style="20" bestFit="1" customWidth="1"/>
    <col min="14" max="19" width="10.42578125" style="1" bestFit="1" customWidth="1"/>
    <col min="20" max="28" width="9.7109375" style="1" bestFit="1" customWidth="1"/>
    <col min="29" max="16384" width="9.28515625" style="1"/>
  </cols>
  <sheetData>
    <row r="1" spans="1:40" s="29" customFormat="1" x14ac:dyDescent="0.25"/>
    <row r="2" spans="1:40" s="29" customFormat="1" x14ac:dyDescent="0.25"/>
    <row r="3" spans="1:40" s="29" customFormat="1" x14ac:dyDescent="0.25">
      <c r="B3" s="30" t="s">
        <v>90</v>
      </c>
      <c r="C3" s="31"/>
      <c r="D3" s="31"/>
    </row>
    <row r="4" spans="1:40" s="29" customFormat="1" x14ac:dyDescent="0.25"/>
    <row r="5" spans="1:40" s="33" customFormat="1" x14ac:dyDescent="0.25">
      <c r="A5" s="32"/>
      <c r="B5" s="32" t="s">
        <v>0</v>
      </c>
      <c r="C5" s="32"/>
      <c r="D5" s="32">
        <v>2018</v>
      </c>
      <c r="E5" s="32">
        <v>2019</v>
      </c>
      <c r="F5" s="32">
        <v>2020</v>
      </c>
      <c r="G5" s="32">
        <v>2021</v>
      </c>
      <c r="H5" s="32">
        <v>2022</v>
      </c>
      <c r="I5" s="32">
        <f>H5+1</f>
        <v>2023</v>
      </c>
      <c r="J5" s="32">
        <f t="shared" ref="J5:AM5" si="0">I5+1</f>
        <v>2024</v>
      </c>
      <c r="K5" s="32">
        <f t="shared" si="0"/>
        <v>2025</v>
      </c>
      <c r="L5" s="32">
        <f t="shared" si="0"/>
        <v>2026</v>
      </c>
      <c r="M5" s="32">
        <f t="shared" si="0"/>
        <v>2027</v>
      </c>
      <c r="N5" s="32">
        <f t="shared" si="0"/>
        <v>2028</v>
      </c>
      <c r="O5" s="32">
        <f t="shared" si="0"/>
        <v>2029</v>
      </c>
      <c r="P5" s="32">
        <f t="shared" si="0"/>
        <v>2030</v>
      </c>
      <c r="Q5" s="32">
        <f t="shared" si="0"/>
        <v>2031</v>
      </c>
      <c r="R5" s="32">
        <f t="shared" si="0"/>
        <v>2032</v>
      </c>
      <c r="S5" s="32">
        <f t="shared" si="0"/>
        <v>2033</v>
      </c>
      <c r="T5" s="32">
        <f t="shared" si="0"/>
        <v>2034</v>
      </c>
      <c r="U5" s="32">
        <f t="shared" si="0"/>
        <v>2035</v>
      </c>
      <c r="V5" s="32">
        <f t="shared" si="0"/>
        <v>2036</v>
      </c>
      <c r="W5" s="32">
        <f t="shared" si="0"/>
        <v>2037</v>
      </c>
      <c r="X5" s="32">
        <f t="shared" si="0"/>
        <v>2038</v>
      </c>
      <c r="Y5" s="32">
        <f t="shared" si="0"/>
        <v>2039</v>
      </c>
      <c r="Z5" s="32">
        <f t="shared" si="0"/>
        <v>2040</v>
      </c>
      <c r="AA5" s="32">
        <f t="shared" si="0"/>
        <v>2041</v>
      </c>
      <c r="AB5" s="32">
        <f t="shared" si="0"/>
        <v>2042</v>
      </c>
      <c r="AC5" s="32">
        <f t="shared" si="0"/>
        <v>2043</v>
      </c>
      <c r="AD5" s="32">
        <f t="shared" si="0"/>
        <v>2044</v>
      </c>
      <c r="AE5" s="32">
        <f t="shared" si="0"/>
        <v>2045</v>
      </c>
      <c r="AF5" s="32">
        <f t="shared" si="0"/>
        <v>2046</v>
      </c>
      <c r="AG5" s="32">
        <f t="shared" si="0"/>
        <v>2047</v>
      </c>
      <c r="AH5" s="32">
        <f t="shared" si="0"/>
        <v>2048</v>
      </c>
      <c r="AI5" s="32">
        <f t="shared" si="0"/>
        <v>2049</v>
      </c>
      <c r="AJ5" s="32">
        <f t="shared" si="0"/>
        <v>2050</v>
      </c>
      <c r="AK5" s="32">
        <f t="shared" si="0"/>
        <v>2051</v>
      </c>
      <c r="AL5" s="32">
        <f t="shared" si="0"/>
        <v>2052</v>
      </c>
      <c r="AM5" s="32">
        <f t="shared" si="0"/>
        <v>2053</v>
      </c>
    </row>
    <row r="6" spans="1:40" s="29" customFormat="1" ht="30" x14ac:dyDescent="0.25">
      <c r="A6" s="34">
        <v>1</v>
      </c>
      <c r="B6" s="35" t="s">
        <v>52</v>
      </c>
      <c r="C6" s="36" t="s">
        <v>1</v>
      </c>
      <c r="D6" s="36"/>
      <c r="E6" s="37"/>
      <c r="F6" s="37"/>
      <c r="G6" s="37"/>
      <c r="H6" s="37"/>
      <c r="I6" s="37">
        <f t="shared" ref="I6:AB6" si="1">-I12*H29</f>
        <v>0</v>
      </c>
      <c r="J6" s="37">
        <f t="shared" si="1"/>
        <v>0</v>
      </c>
      <c r="K6" s="37">
        <f t="shared" si="1"/>
        <v>0</v>
      </c>
      <c r="L6" s="37">
        <f t="shared" si="1"/>
        <v>0</v>
      </c>
      <c r="M6" s="37">
        <f t="shared" si="1"/>
        <v>0</v>
      </c>
      <c r="N6" s="37">
        <f t="shared" si="1"/>
        <v>0</v>
      </c>
      <c r="O6" s="37">
        <f t="shared" si="1"/>
        <v>0</v>
      </c>
      <c r="P6" s="37">
        <f t="shared" si="1"/>
        <v>0</v>
      </c>
      <c r="Q6" s="37">
        <f t="shared" si="1"/>
        <v>0</v>
      </c>
      <c r="R6" s="37">
        <f t="shared" si="1"/>
        <v>0</v>
      </c>
      <c r="S6" s="37">
        <f t="shared" si="1"/>
        <v>0</v>
      </c>
      <c r="T6" s="37">
        <f t="shared" si="1"/>
        <v>0</v>
      </c>
      <c r="U6" s="37">
        <f t="shared" si="1"/>
        <v>0</v>
      </c>
      <c r="V6" s="37">
        <f t="shared" si="1"/>
        <v>0</v>
      </c>
      <c r="W6" s="37">
        <f t="shared" si="1"/>
        <v>0</v>
      </c>
      <c r="X6" s="37">
        <f t="shared" si="1"/>
        <v>0</v>
      </c>
      <c r="Y6" s="37">
        <f t="shared" si="1"/>
        <v>0</v>
      </c>
      <c r="Z6" s="37">
        <f t="shared" si="1"/>
        <v>0</v>
      </c>
      <c r="AA6" s="37">
        <f t="shared" si="1"/>
        <v>0</v>
      </c>
      <c r="AB6" s="37">
        <f t="shared" si="1"/>
        <v>0</v>
      </c>
      <c r="AC6" s="37">
        <f t="shared" ref="AC6" si="2">-AC12*AB29</f>
        <v>0</v>
      </c>
      <c r="AD6" s="37">
        <f t="shared" ref="AD6" si="3">-AD12*AC29</f>
        <v>0</v>
      </c>
      <c r="AE6" s="37">
        <f t="shared" ref="AE6" si="4">-AE12*AD29</f>
        <v>0</v>
      </c>
      <c r="AF6" s="37">
        <f t="shared" ref="AF6" si="5">-AF12*AE29</f>
        <v>0</v>
      </c>
      <c r="AG6" s="37">
        <f t="shared" ref="AG6" si="6">-AG12*AF29</f>
        <v>0</v>
      </c>
      <c r="AH6" s="37">
        <f t="shared" ref="AH6" si="7">-AH12*AG29</f>
        <v>0</v>
      </c>
      <c r="AI6" s="37">
        <f t="shared" ref="AI6" si="8">-AI12*AH29</f>
        <v>0</v>
      </c>
      <c r="AJ6" s="37">
        <f t="shared" ref="AJ6" si="9">-AJ12*AI29</f>
        <v>0</v>
      </c>
      <c r="AK6" s="37">
        <f t="shared" ref="AK6" si="10">-AK12*AJ29</f>
        <v>0</v>
      </c>
      <c r="AL6" s="37">
        <f t="shared" ref="AL6" si="11">-AL12*AK29</f>
        <v>0</v>
      </c>
      <c r="AM6" s="37">
        <f t="shared" ref="AM6" si="12">-AM12*AL29</f>
        <v>0</v>
      </c>
    </row>
    <row r="7" spans="1:40" s="29" customFormat="1" ht="30" x14ac:dyDescent="0.25">
      <c r="A7" s="34">
        <v>2</v>
      </c>
      <c r="B7" s="35" t="s">
        <v>2</v>
      </c>
      <c r="C7" s="36" t="s">
        <v>1</v>
      </c>
      <c r="D7" s="36"/>
      <c r="E7" s="37"/>
      <c r="F7" s="37"/>
      <c r="G7" s="37"/>
      <c r="H7" s="37"/>
      <c r="I7" s="37">
        <f t="shared" ref="I7" si="13">-(I10*H25)</f>
        <v>-5.6547828107545124</v>
      </c>
      <c r="J7" s="37">
        <f t="shared" ref="J7" si="14">-(J10*I25)</f>
        <v>-5.4801508663892049</v>
      </c>
      <c r="K7" s="37">
        <f t="shared" ref="K7" si="15">-(K10*J25)</f>
        <v>-5.3110645175386209</v>
      </c>
      <c r="L7" s="37">
        <f t="shared" ref="L7" si="16">-(L10*K25)</f>
        <v>-4.0149278566618376</v>
      </c>
      <c r="M7" s="37">
        <f t="shared" ref="M7" si="17">-(M10*L25)</f>
        <v>-3.1268688577911194</v>
      </c>
      <c r="N7" s="37">
        <f t="shared" ref="N7" si="18">-(N10*M25)</f>
        <v>-2.9989437802651011</v>
      </c>
      <c r="O7" s="37">
        <f t="shared" ref="O7" si="19">-(O10*N25)</f>
        <v>-0.71329511191256234</v>
      </c>
      <c r="P7" s="37">
        <f t="shared" ref="P7" si="20">-(P10*O25)</f>
        <v>-0.692111015067159</v>
      </c>
      <c r="Q7" s="37">
        <f t="shared" ref="Q7" si="21">-(Q10*P25)</f>
        <v>-0.6713521316895934</v>
      </c>
      <c r="R7" s="37">
        <f t="shared" ref="R7" si="22">-(R10*Q25)</f>
        <v>-0.65101041293223616</v>
      </c>
      <c r="S7" s="37">
        <f t="shared" ref="S7" si="23">-(S10*R25)</f>
        <v>-0.63107796058886179</v>
      </c>
      <c r="T7" s="37">
        <f t="shared" ref="T7" si="24">-(T10*S25)</f>
        <v>-0.61154702428173902</v>
      </c>
      <c r="U7" s="37">
        <f t="shared" ref="U7" si="25">-(U10*T25)</f>
        <v>-0.59240999870110522</v>
      </c>
      <c r="V7" s="37">
        <f t="shared" ref="V7" si="26">-(V10*U25)</f>
        <v>-0.57365942089629629</v>
      </c>
      <c r="W7" s="37">
        <f t="shared" ref="W7" si="27">-(W10*V25)</f>
        <v>-0.55528796761728716</v>
      </c>
      <c r="X7" s="37">
        <f t="shared" ref="X7" si="28">-(X10*W25)</f>
        <v>-0.53728845270606163</v>
      </c>
      <c r="Y7" s="37">
        <f t="shared" ref="Y7" si="29">-(Y10*X25)</f>
        <v>-0.51965382453614639</v>
      </c>
      <c r="Z7" s="37">
        <f t="shared" ref="Z7" si="30">-(Z10*Y25)</f>
        <v>-0.5023771635009624</v>
      </c>
      <c r="AA7" s="37">
        <f t="shared" ref="AA7" si="31">-(AA10*Z25)</f>
        <v>-0.48545167954776391</v>
      </c>
      <c r="AB7" s="37">
        <f t="shared" ref="AB7" si="32">-(AB10*AA25)</f>
        <v>-0.46887070975872819</v>
      </c>
      <c r="AC7" s="37">
        <f t="shared" ref="AC7" si="33">-(AC10*AB25)</f>
        <v>-0.4526277159763617</v>
      </c>
      <c r="AD7" s="37">
        <f t="shared" ref="AD7" si="34">-(AD10*AC25)</f>
        <v>-0.43671628247396022</v>
      </c>
      <c r="AE7" s="37">
        <f t="shared" ref="AE7" si="35">-(AE10*AD25)</f>
        <v>-0.42484752955247512</v>
      </c>
      <c r="AF7" s="37">
        <f t="shared" ref="AF7" si="36">-(AF10*AE25)</f>
        <v>-0.41305995620971886</v>
      </c>
      <c r="AG7" s="37">
        <f t="shared" ref="AG7" si="37">-(AG10*AF25)</f>
        <v>-0.40135256311009176</v>
      </c>
      <c r="AH7" s="37">
        <f t="shared" ref="AH7" si="38">-(AH10*AG25)</f>
        <v>-0.38972435997385829</v>
      </c>
      <c r="AI7" s="37">
        <f t="shared" ref="AI7" si="39">-(AI10*AH25)</f>
        <v>-0.37817436548143274</v>
      </c>
      <c r="AJ7" s="37">
        <f t="shared" ref="AJ7" si="40">-(AJ10*AI25)</f>
        <v>-0.3667016071794531</v>
      </c>
      <c r="AK7" s="37">
        <f t="shared" ref="AK7" si="41">-(AK10*AJ25)</f>
        <v>-0.35530512138728831</v>
      </c>
      <c r="AL7" s="37">
        <f t="shared" ref="AL7" si="42">-(AL10*AK25)</f>
        <v>-0.34398395310441299</v>
      </c>
      <c r="AM7" s="37">
        <f t="shared" ref="AM7" si="43">-(AM10*AL25)</f>
        <v>-0.33273715591900016</v>
      </c>
    </row>
    <row r="8" spans="1:40" s="29" customFormat="1" ht="30" x14ac:dyDescent="0.25">
      <c r="A8" s="34">
        <v>3</v>
      </c>
      <c r="B8" s="35" t="s">
        <v>3</v>
      </c>
      <c r="C8" s="36" t="s">
        <v>4</v>
      </c>
      <c r="D8" s="36"/>
      <c r="E8" s="37"/>
      <c r="F8" s="37"/>
      <c r="G8" s="37"/>
      <c r="H8" s="37"/>
      <c r="I8" s="37">
        <f t="shared" ref="I8" si="44">-I14*0.035*H25*0.25</f>
        <v>-2.3104785059058983</v>
      </c>
      <c r="J8" s="37">
        <f t="shared" ref="J8" si="45">-J14*0.035*I25*0.25</f>
        <v>-2.2423104988983162</v>
      </c>
      <c r="K8" s="37">
        <f t="shared" ref="K8" si="46">-K14*0.035*J25*0.25</f>
        <v>-2.1762184675044929</v>
      </c>
      <c r="L8" s="37">
        <f t="shared" ref="L8" si="47">-L14*0.035*K25*0.25</f>
        <v>-2.1220459371680374</v>
      </c>
      <c r="M8" s="37">
        <f t="shared" ref="M8" si="48">-M14*0.035*L25*0.25</f>
        <v>-2.0761179327121448</v>
      </c>
      <c r="N8" s="37">
        <f t="shared" ref="N8" si="49">-N14*0.035*M25*0.25</f>
        <v>-2.0317111427235939</v>
      </c>
      <c r="O8" s="37">
        <f t="shared" ref="O8" si="50">-O14*0.035*N25*0.25</f>
        <v>-2.0076923379955276</v>
      </c>
      <c r="P8" s="37">
        <f t="shared" ref="P8" si="51">-P14*0.035*O25*0.25</f>
        <v>-1.9840690586562286</v>
      </c>
      <c r="Q8" s="37">
        <f t="shared" ref="Q8" si="52">-Q14*0.035*P25*0.25</f>
        <v>-1.9608341232407029</v>
      </c>
      <c r="R8" s="37">
        <f t="shared" ref="R8" si="53">-R14*0.035*Q25*0.25</f>
        <v>-1.9379804835491896</v>
      </c>
      <c r="S8" s="37">
        <f t="shared" ref="S8" si="54">-S14*0.035*R25*0.25</f>
        <v>-1.9155012221629815</v>
      </c>
      <c r="T8" s="37">
        <f t="shared" ref="T8" si="55">-T14*0.035*S25*0.25</f>
        <v>-1.89338955000659</v>
      </c>
      <c r="U8" s="37">
        <f t="shared" ref="U8" si="56">-U14*0.035*T25*0.25</f>
        <v>-1.8716388039553977</v>
      </c>
      <c r="V8" s="37">
        <f t="shared" ref="V8" si="57">-V14*0.035*U25*0.25</f>
        <v>-1.8502424444879457</v>
      </c>
      <c r="W8" s="37">
        <f t="shared" ref="W8" si="58">-W14*0.035*V25*0.25</f>
        <v>-1.8291940533820246</v>
      </c>
      <c r="X8" s="37">
        <f t="shared" ref="X8" si="59">-X14*0.035*W25*0.25</f>
        <v>-1.8084873314537542</v>
      </c>
      <c r="Y8" s="37">
        <f t="shared" ref="Y8" si="60">-Y14*0.035*X25*0.25</f>
        <v>-1.7881160963388423</v>
      </c>
      <c r="Z8" s="37">
        <f t="shared" ref="Z8" si="61">-Z14*0.035*Y25*0.25</f>
        <v>-1.7680742803152438</v>
      </c>
      <c r="AA8" s="37">
        <f t="shared" ref="AA8" si="62">-AA14*0.035*Z25*0.25</f>
        <v>-1.7483559281664427</v>
      </c>
      <c r="AB8" s="37">
        <f t="shared" ref="AB8" si="63">-AB14*0.035*AA25*0.25</f>
        <v>-1.7289551950845974</v>
      </c>
      <c r="AC8" s="37">
        <f t="shared" ref="AC8" si="64">-AC14*0.035*AB25*0.25</f>
        <v>-1.7098663446128144</v>
      </c>
      <c r="AD8" s="37">
        <v>0</v>
      </c>
      <c r="AE8" s="37">
        <v>0</v>
      </c>
      <c r="AF8" s="37">
        <v>0</v>
      </c>
      <c r="AG8" s="37">
        <v>0</v>
      </c>
      <c r="AH8" s="37">
        <v>0</v>
      </c>
      <c r="AI8" s="37">
        <v>0</v>
      </c>
      <c r="AJ8" s="37">
        <v>0</v>
      </c>
      <c r="AK8" s="37">
        <v>0</v>
      </c>
      <c r="AL8" s="37">
        <v>0</v>
      </c>
      <c r="AM8" s="37">
        <v>0</v>
      </c>
    </row>
    <row r="9" spans="1:40" s="29" customFormat="1" ht="30" x14ac:dyDescent="0.25">
      <c r="A9" s="34">
        <v>4</v>
      </c>
      <c r="B9" s="35" t="s">
        <v>53</v>
      </c>
      <c r="C9" s="36" t="s">
        <v>1</v>
      </c>
      <c r="D9" s="36"/>
      <c r="E9" s="38"/>
      <c r="F9" s="38"/>
      <c r="G9" s="38"/>
      <c r="H9" s="37"/>
      <c r="I9" s="37">
        <f>-I15*H29*0.07*0.25</f>
        <v>-1.476297081</v>
      </c>
      <c r="J9" s="37">
        <f t="shared" ref="J9:R9" si="65">-J15*I29*0.07*0.25</f>
        <v>-1.4504618820825002</v>
      </c>
      <c r="K9" s="37">
        <f t="shared" si="65"/>
        <v>-1.4250787991460563</v>
      </c>
      <c r="L9" s="37">
        <f t="shared" si="65"/>
        <v>-1.4001399201610003</v>
      </c>
      <c r="M9" s="37">
        <f t="shared" si="65"/>
        <v>-1.3756374715581829</v>
      </c>
      <c r="N9" s="37">
        <f t="shared" si="65"/>
        <v>-1.3515638158059144</v>
      </c>
      <c r="O9" s="37">
        <f t="shared" si="65"/>
        <v>-1.3279114490293114</v>
      </c>
      <c r="P9" s="37">
        <f t="shared" si="65"/>
        <v>-1.3046729986712982</v>
      </c>
      <c r="Q9" s="37">
        <f t="shared" si="65"/>
        <v>-1.2818412211945507</v>
      </c>
      <c r="R9" s="37">
        <f t="shared" si="65"/>
        <v>-1.259408999823646</v>
      </c>
      <c r="S9" s="37">
        <v>0</v>
      </c>
      <c r="T9" s="37">
        <v>0</v>
      </c>
      <c r="U9" s="37">
        <v>0</v>
      </c>
      <c r="V9" s="37">
        <v>0</v>
      </c>
      <c r="W9" s="37">
        <v>0</v>
      </c>
      <c r="X9" s="37">
        <v>0</v>
      </c>
      <c r="Y9" s="37">
        <v>0</v>
      </c>
      <c r="Z9" s="37">
        <v>0</v>
      </c>
      <c r="AA9" s="37">
        <v>0</v>
      </c>
      <c r="AB9" s="37">
        <v>0</v>
      </c>
      <c r="AC9" s="37">
        <v>0</v>
      </c>
      <c r="AD9" s="37">
        <v>0</v>
      </c>
      <c r="AE9" s="37">
        <v>0</v>
      </c>
      <c r="AF9" s="37">
        <v>0</v>
      </c>
      <c r="AG9" s="37">
        <v>0</v>
      </c>
      <c r="AH9" s="37">
        <v>0</v>
      </c>
      <c r="AI9" s="37">
        <v>0</v>
      </c>
      <c r="AJ9" s="37">
        <v>0</v>
      </c>
      <c r="AK9" s="37">
        <v>0</v>
      </c>
      <c r="AL9" s="37">
        <v>0</v>
      </c>
      <c r="AM9" s="37">
        <v>0</v>
      </c>
    </row>
    <row r="10" spans="1:40" s="29" customFormat="1" x14ac:dyDescent="0.25">
      <c r="A10" s="34">
        <v>5</v>
      </c>
      <c r="B10" s="35" t="s">
        <v>72</v>
      </c>
      <c r="C10" s="36" t="s">
        <v>5</v>
      </c>
      <c r="D10" s="36"/>
      <c r="E10" s="39"/>
      <c r="F10" s="40">
        <f>F34</f>
        <v>549</v>
      </c>
      <c r="G10" s="40">
        <f t="shared" ref="G10:AB10" si="66">G34</f>
        <v>485</v>
      </c>
      <c r="H10" s="40">
        <f t="shared" si="66"/>
        <v>322.90880000000107</v>
      </c>
      <c r="I10" s="40">
        <f t="shared" si="66"/>
        <v>315.68999319999784</v>
      </c>
      <c r="J10" s="40">
        <f t="shared" si="66"/>
        <v>308.64141464112981</v>
      </c>
      <c r="K10" s="40">
        <f t="shared" si="66"/>
        <v>301.7588827452837</v>
      </c>
      <c r="L10" s="40">
        <f t="shared" si="66"/>
        <v>230.12989089098301</v>
      </c>
      <c r="M10" s="40">
        <f t="shared" si="66"/>
        <v>180.80971116274304</v>
      </c>
      <c r="N10" s="40">
        <f t="shared" si="66"/>
        <v>174.94325763022425</v>
      </c>
      <c r="O10" s="40">
        <f>O34</f>
        <v>41.97734169821706</v>
      </c>
      <c r="P10" s="40">
        <f t="shared" si="66"/>
        <v>41.090199087240762</v>
      </c>
      <c r="Q10" s="40">
        <f t="shared" si="66"/>
        <v>40.209591056402132</v>
      </c>
      <c r="R10" s="40">
        <f t="shared" si="66"/>
        <v>39.335440575672692</v>
      </c>
      <c r="S10" s="40">
        <f t="shared" si="66"/>
        <v>38.467671326900017</v>
      </c>
      <c r="T10" s="40">
        <f t="shared" si="66"/>
        <v>37.606207696400816</v>
      </c>
      <c r="U10" s="40">
        <f t="shared" si="66"/>
        <v>36.750974767619482</v>
      </c>
      <c r="V10" s="40">
        <f t="shared" si="66"/>
        <v>35.901898313866695</v>
      </c>
      <c r="W10" s="40">
        <f t="shared" si="66"/>
        <v>35.058904791119858</v>
      </c>
      <c r="X10" s="40">
        <f t="shared" si="66"/>
        <v>34.221921330907207</v>
      </c>
      <c r="Y10" s="40">
        <f t="shared" si="66"/>
        <v>33.390875733228313</v>
      </c>
      <c r="Z10" s="40">
        <f t="shared" si="66"/>
        <v>32.565696459609171</v>
      </c>
      <c r="AA10" s="40">
        <f t="shared" si="66"/>
        <v>31.746312626142753</v>
      </c>
      <c r="AB10" s="40">
        <f t="shared" si="66"/>
        <v>30.932653996669615</v>
      </c>
      <c r="AC10" s="40">
        <f t="shared" ref="AC10:AM10" si="67">AC34</f>
        <v>30.124650975971235</v>
      </c>
      <c r="AD10" s="40">
        <f t="shared" si="67"/>
        <v>29.322234603077959</v>
      </c>
      <c r="AE10" s="40">
        <f t="shared" si="67"/>
        <v>28.525336544598758</v>
      </c>
      <c r="AF10" s="40">
        <f t="shared" si="67"/>
        <v>27.73388908814195</v>
      </c>
      <c r="AG10" s="40">
        <f t="shared" si="67"/>
        <v>26.947825135790481</v>
      </c>
      <c r="AH10" s="40">
        <f t="shared" si="67"/>
        <v>26.167078197660885</v>
      </c>
      <c r="AI10" s="40">
        <f t="shared" si="67"/>
        <v>25.391582385476795</v>
      </c>
      <c r="AJ10" s="40">
        <f t="shared" si="67"/>
        <v>24.621272406262506</v>
      </c>
      <c r="AK10" s="40">
        <f t="shared" si="67"/>
        <v>23.856083556065641</v>
      </c>
      <c r="AL10" s="40">
        <f t="shared" si="67"/>
        <v>23.095951713738032</v>
      </c>
      <c r="AM10" s="40">
        <f t="shared" si="67"/>
        <v>22.34081333479844</v>
      </c>
    </row>
    <row r="11" spans="1:40" s="29" customFormat="1" x14ac:dyDescent="0.25">
      <c r="A11" s="34">
        <v>6</v>
      </c>
      <c r="B11" s="35" t="s">
        <v>86</v>
      </c>
      <c r="C11" s="36" t="s">
        <v>5</v>
      </c>
      <c r="D11" s="36"/>
      <c r="E11" s="41"/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42">
        <v>0</v>
      </c>
      <c r="Y11" s="42">
        <v>0</v>
      </c>
      <c r="Z11" s="42">
        <v>0</v>
      </c>
      <c r="AA11" s="42">
        <v>0</v>
      </c>
      <c r="AB11" s="42">
        <v>0</v>
      </c>
      <c r="AC11" s="42">
        <v>0</v>
      </c>
      <c r="AD11" s="42">
        <v>0</v>
      </c>
      <c r="AE11" s="42">
        <v>0</v>
      </c>
      <c r="AF11" s="42">
        <v>0</v>
      </c>
      <c r="AG11" s="42">
        <v>0</v>
      </c>
      <c r="AH11" s="42">
        <v>0</v>
      </c>
      <c r="AI11" s="42">
        <v>0</v>
      </c>
      <c r="AJ11" s="42">
        <v>0</v>
      </c>
      <c r="AK11" s="42">
        <v>0</v>
      </c>
      <c r="AL11" s="42">
        <v>0</v>
      </c>
      <c r="AM11" s="42">
        <v>0</v>
      </c>
    </row>
    <row r="12" spans="1:40" s="29" customFormat="1" ht="30" x14ac:dyDescent="0.25">
      <c r="A12" s="34">
        <v>7</v>
      </c>
      <c r="B12" s="35" t="s">
        <v>71</v>
      </c>
      <c r="C12" s="36" t="s">
        <v>6</v>
      </c>
      <c r="D12" s="36"/>
      <c r="E12" s="43"/>
      <c r="F12" s="41"/>
      <c r="G12" s="41"/>
      <c r="H12" s="41"/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42">
        <v>0</v>
      </c>
      <c r="Y12" s="42">
        <v>0</v>
      </c>
      <c r="Z12" s="42">
        <v>0</v>
      </c>
      <c r="AA12" s="42">
        <v>0</v>
      </c>
      <c r="AB12" s="42">
        <v>0</v>
      </c>
      <c r="AC12" s="42">
        <v>0</v>
      </c>
      <c r="AD12" s="42">
        <v>0</v>
      </c>
      <c r="AE12" s="42">
        <v>0</v>
      </c>
      <c r="AF12" s="42">
        <v>0</v>
      </c>
      <c r="AG12" s="42">
        <v>0</v>
      </c>
      <c r="AH12" s="42">
        <v>0</v>
      </c>
      <c r="AI12" s="42">
        <v>0</v>
      </c>
      <c r="AJ12" s="42">
        <v>0</v>
      </c>
      <c r="AK12" s="42">
        <v>0</v>
      </c>
      <c r="AL12" s="42">
        <v>0</v>
      </c>
      <c r="AM12" s="42">
        <v>0</v>
      </c>
    </row>
    <row r="13" spans="1:40" s="29" customFormat="1" ht="30" x14ac:dyDescent="0.25">
      <c r="A13" s="34">
        <v>8</v>
      </c>
      <c r="B13" s="35" t="s">
        <v>70</v>
      </c>
      <c r="C13" s="36" t="s">
        <v>6</v>
      </c>
      <c r="D13" s="36"/>
      <c r="E13" s="42"/>
      <c r="F13" s="42"/>
      <c r="G13" s="42"/>
      <c r="H13" s="42"/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  <c r="T13" s="42">
        <v>0</v>
      </c>
      <c r="U13" s="42">
        <v>0</v>
      </c>
      <c r="V13" s="42">
        <v>0</v>
      </c>
      <c r="W13" s="42">
        <v>0</v>
      </c>
      <c r="X13" s="42">
        <v>0</v>
      </c>
      <c r="Y13" s="42">
        <v>0</v>
      </c>
      <c r="Z13" s="42">
        <v>0</v>
      </c>
      <c r="AA13" s="42">
        <v>0</v>
      </c>
      <c r="AB13" s="42">
        <v>0</v>
      </c>
      <c r="AC13" s="42">
        <v>0</v>
      </c>
      <c r="AD13" s="42">
        <v>0</v>
      </c>
      <c r="AE13" s="42">
        <v>0</v>
      </c>
      <c r="AF13" s="42">
        <v>0</v>
      </c>
      <c r="AG13" s="42">
        <v>0</v>
      </c>
      <c r="AH13" s="42">
        <v>0</v>
      </c>
      <c r="AI13" s="42">
        <v>0</v>
      </c>
      <c r="AJ13" s="42">
        <v>0</v>
      </c>
      <c r="AK13" s="42">
        <v>0</v>
      </c>
      <c r="AL13" s="42">
        <v>0</v>
      </c>
      <c r="AM13" s="42">
        <v>0</v>
      </c>
    </row>
    <row r="14" spans="1:40" s="29" customFormat="1" x14ac:dyDescent="0.25">
      <c r="A14" s="34">
        <v>9</v>
      </c>
      <c r="B14" s="35" t="s">
        <v>68</v>
      </c>
      <c r="C14" s="36" t="s">
        <v>5</v>
      </c>
      <c r="D14" s="40">
        <f>D33</f>
        <v>16856</v>
      </c>
      <c r="E14" s="40">
        <f t="shared" ref="E14" si="68">E33</f>
        <v>16414</v>
      </c>
      <c r="F14" s="40">
        <f>F33</f>
        <v>15865</v>
      </c>
      <c r="G14" s="40">
        <f t="shared" ref="G14:H14" si="69">F14-G10</f>
        <v>15380</v>
      </c>
      <c r="H14" s="40">
        <f t="shared" si="69"/>
        <v>15057.091199999999</v>
      </c>
      <c r="I14" s="40">
        <f>H14-I10</f>
        <v>14741.401206800001</v>
      </c>
      <c r="J14" s="40">
        <f t="shared" ref="J14" si="70">I14-J10</f>
        <v>14432.759792158871</v>
      </c>
      <c r="K14" s="40">
        <f t="shared" ref="K14" si="71">J14-K10</f>
        <v>14131.000909413588</v>
      </c>
      <c r="L14" s="40">
        <f t="shared" ref="L14" si="72">K14-L10</f>
        <v>13900.871018522605</v>
      </c>
      <c r="M14" s="40">
        <f t="shared" ref="M14" si="73">L14-M10</f>
        <v>13720.061307359862</v>
      </c>
      <c r="N14" s="40">
        <f t="shared" ref="N14" si="74">M14-N10</f>
        <v>13545.118049729637</v>
      </c>
      <c r="O14" s="40">
        <f t="shared" ref="O14" si="75">N14-O10</f>
        <v>13503.14070803142</v>
      </c>
      <c r="P14" s="40">
        <f t="shared" ref="P14" si="76">O14-P10</f>
        <v>13462.050508944179</v>
      </c>
      <c r="Q14" s="40">
        <f t="shared" ref="Q14" si="77">P14-Q10</f>
        <v>13421.840917887777</v>
      </c>
      <c r="R14" s="40">
        <f t="shared" ref="R14" si="78">Q14-R10</f>
        <v>13382.505477312105</v>
      </c>
      <c r="S14" s="40">
        <f t="shared" ref="S14" si="79">R14-S10</f>
        <v>13344.037805985205</v>
      </c>
      <c r="T14" s="40">
        <f t="shared" ref="T14" si="80">S14-T10</f>
        <v>13306.431598288804</v>
      </c>
      <c r="U14" s="40">
        <f t="shared" ref="U14" si="81">T14-U10</f>
        <v>13269.680623521184</v>
      </c>
      <c r="V14" s="40">
        <f t="shared" ref="V14" si="82">U14-V10</f>
        <v>13233.778725207318</v>
      </c>
      <c r="W14" s="40">
        <f t="shared" ref="W14" si="83">V14-W10</f>
        <v>13198.719820416198</v>
      </c>
      <c r="X14" s="40">
        <f t="shared" ref="X14" si="84">W14-X10</f>
        <v>13164.497899085291</v>
      </c>
      <c r="Y14" s="40">
        <f t="shared" ref="Y14" si="85">X14-Y10</f>
        <v>13131.107023352062</v>
      </c>
      <c r="Z14" s="40">
        <f t="shared" ref="Z14" si="86">Y14-Z10</f>
        <v>13098.541326892453</v>
      </c>
      <c r="AA14" s="40">
        <f t="shared" ref="AA14" si="87">Z14-AA10</f>
        <v>13066.79501426631</v>
      </c>
      <c r="AB14" s="40">
        <f t="shared" ref="AB14" si="88">AA14-AB10</f>
        <v>13035.862360269641</v>
      </c>
      <c r="AC14" s="40">
        <f t="shared" ref="AC14" si="89">AB14-AC10</f>
        <v>13005.737709293669</v>
      </c>
      <c r="AD14" s="40">
        <f t="shared" ref="AD14" si="90">AC14-AD10</f>
        <v>12976.415474690592</v>
      </c>
      <c r="AE14" s="40">
        <f t="shared" ref="AE14" si="91">AD14-AE10</f>
        <v>12947.890138145993</v>
      </c>
      <c r="AF14" s="40">
        <f t="shared" ref="AF14" si="92">AE14-AF10</f>
        <v>12920.156249057851</v>
      </c>
      <c r="AG14" s="40">
        <f t="shared" ref="AG14" si="93">AF14-AG10</f>
        <v>12893.20842392206</v>
      </c>
      <c r="AH14" s="40">
        <f t="shared" ref="AH14" si="94">AG14-AH10</f>
        <v>12867.041345724399</v>
      </c>
      <c r="AI14" s="40">
        <f t="shared" ref="AI14" si="95">AH14-AI10</f>
        <v>12841.649763338923</v>
      </c>
      <c r="AJ14" s="40">
        <f t="shared" ref="AJ14" si="96">AI14-AJ10</f>
        <v>12817.02849093266</v>
      </c>
      <c r="AK14" s="40">
        <f t="shared" ref="AK14" si="97">AJ14-AK10</f>
        <v>12793.172407376594</v>
      </c>
      <c r="AL14" s="40">
        <f t="shared" ref="AL14" si="98">AK14-AL10</f>
        <v>12770.076455662856</v>
      </c>
      <c r="AM14" s="40">
        <f t="shared" ref="AM14" si="99">AL14-AM10</f>
        <v>12747.735642328058</v>
      </c>
    </row>
    <row r="15" spans="1:40" s="45" customFormat="1" ht="30" x14ac:dyDescent="0.25">
      <c r="A15" s="34">
        <v>10</v>
      </c>
      <c r="B15" s="35" t="s">
        <v>75</v>
      </c>
      <c r="C15" s="36" t="s">
        <v>6</v>
      </c>
      <c r="D15" s="36">
        <f>507+31+109</f>
        <v>647</v>
      </c>
      <c r="E15" s="44">
        <f>493+105</f>
        <v>598</v>
      </c>
      <c r="F15" s="44">
        <f>480+106</f>
        <v>586</v>
      </c>
      <c r="G15" s="44">
        <f>104+36+455</f>
        <v>595</v>
      </c>
      <c r="H15" s="44">
        <v>542</v>
      </c>
      <c r="I15" s="44">
        <f>H15-I12</f>
        <v>542</v>
      </c>
      <c r="J15" s="44">
        <f t="shared" ref="J15" si="100">I15-J12</f>
        <v>542</v>
      </c>
      <c r="K15" s="44">
        <f t="shared" ref="K15" si="101">J15-K12</f>
        <v>542</v>
      </c>
      <c r="L15" s="44">
        <f t="shared" ref="L15" si="102">K15-L12</f>
        <v>542</v>
      </c>
      <c r="M15" s="44">
        <f t="shared" ref="M15" si="103">L15-M12</f>
        <v>542</v>
      </c>
      <c r="N15" s="44">
        <f t="shared" ref="N15" si="104">M15-N12</f>
        <v>542</v>
      </c>
      <c r="O15" s="44">
        <f t="shared" ref="O15" si="105">N15-O12</f>
        <v>542</v>
      </c>
      <c r="P15" s="44">
        <f t="shared" ref="P15" si="106">O15-P12</f>
        <v>542</v>
      </c>
      <c r="Q15" s="44">
        <f t="shared" ref="Q15" si="107">P15-Q12</f>
        <v>542</v>
      </c>
      <c r="R15" s="44">
        <f t="shared" ref="R15" si="108">Q15-R12</f>
        <v>542</v>
      </c>
      <c r="S15" s="44">
        <f t="shared" ref="S15" si="109">R15-S12</f>
        <v>542</v>
      </c>
      <c r="T15" s="44">
        <f t="shared" ref="T15" si="110">S15-T12</f>
        <v>542</v>
      </c>
      <c r="U15" s="44">
        <f t="shared" ref="U15" si="111">T15-U12</f>
        <v>542</v>
      </c>
      <c r="V15" s="44">
        <f t="shared" ref="V15" si="112">U15-V12</f>
        <v>542</v>
      </c>
      <c r="W15" s="44">
        <f t="shared" ref="W15" si="113">V15-W12</f>
        <v>542</v>
      </c>
      <c r="X15" s="44">
        <f t="shared" ref="X15" si="114">W15-X12</f>
        <v>542</v>
      </c>
      <c r="Y15" s="44">
        <f t="shared" ref="Y15" si="115">X15-Y12</f>
        <v>542</v>
      </c>
      <c r="Z15" s="44">
        <f t="shared" ref="Z15" si="116">Y15-Z12</f>
        <v>542</v>
      </c>
      <c r="AA15" s="44">
        <f t="shared" ref="AA15" si="117">Z15-AA12</f>
        <v>542</v>
      </c>
      <c r="AB15" s="44">
        <f t="shared" ref="AB15" si="118">AA15-AB12</f>
        <v>542</v>
      </c>
      <c r="AC15" s="44">
        <f t="shared" ref="AC15" si="119">AB15-AC12</f>
        <v>542</v>
      </c>
      <c r="AD15" s="44">
        <f t="shared" ref="AD15" si="120">AC15-AD12</f>
        <v>542</v>
      </c>
      <c r="AE15" s="44">
        <f t="shared" ref="AE15" si="121">AD15-AE12</f>
        <v>542</v>
      </c>
      <c r="AF15" s="44">
        <f t="shared" ref="AF15" si="122">AE15-AF12</f>
        <v>542</v>
      </c>
      <c r="AG15" s="44">
        <f t="shared" ref="AG15" si="123">AF15-AG12</f>
        <v>542</v>
      </c>
      <c r="AH15" s="44">
        <f t="shared" ref="AH15" si="124">AG15-AH12</f>
        <v>542</v>
      </c>
      <c r="AI15" s="44">
        <f t="shared" ref="AI15" si="125">AH15-AI12</f>
        <v>542</v>
      </c>
      <c r="AJ15" s="44">
        <f t="shared" ref="AJ15" si="126">AI15-AJ12</f>
        <v>542</v>
      </c>
      <c r="AK15" s="44">
        <f t="shared" ref="AK15" si="127">AJ15-AK12</f>
        <v>542</v>
      </c>
      <c r="AL15" s="44">
        <f t="shared" ref="AL15" si="128">AK15-AL12</f>
        <v>542</v>
      </c>
      <c r="AM15" s="44">
        <f t="shared" ref="AM15" si="129">AL15-AM12</f>
        <v>542</v>
      </c>
    </row>
    <row r="16" spans="1:40" s="29" customFormat="1" x14ac:dyDescent="0.25">
      <c r="A16" s="34">
        <v>11</v>
      </c>
      <c r="B16" s="46" t="s">
        <v>7</v>
      </c>
      <c r="C16" s="47" t="s">
        <v>1</v>
      </c>
      <c r="D16" s="47"/>
      <c r="E16" s="48"/>
      <c r="F16" s="48"/>
      <c r="G16" s="48"/>
      <c r="H16" s="49"/>
      <c r="I16" s="49">
        <f t="shared" ref="I16" si="130">I7+I8</f>
        <v>-7.9652613166604107</v>
      </c>
      <c r="J16" s="49">
        <f>J7+J8</f>
        <v>-7.7224613652875211</v>
      </c>
      <c r="K16" s="49">
        <f t="shared" ref="K16:AB16" si="131">K7+K8</f>
        <v>-7.4872829850431142</v>
      </c>
      <c r="L16" s="49">
        <f t="shared" si="131"/>
        <v>-6.136973793829875</v>
      </c>
      <c r="M16" s="49">
        <f t="shared" si="131"/>
        <v>-5.2029867905032638</v>
      </c>
      <c r="N16" s="49">
        <f t="shared" si="131"/>
        <v>-5.0306549229886954</v>
      </c>
      <c r="O16" s="49">
        <f t="shared" si="131"/>
        <v>-2.7209874499080899</v>
      </c>
      <c r="P16" s="49">
        <f t="shared" si="131"/>
        <v>-2.6761800737233878</v>
      </c>
      <c r="Q16" s="49">
        <f t="shared" si="131"/>
        <v>-2.6321862549302963</v>
      </c>
      <c r="R16" s="49">
        <f t="shared" si="131"/>
        <v>-2.5889908964814259</v>
      </c>
      <c r="S16" s="49">
        <f t="shared" si="131"/>
        <v>-2.5465791827518434</v>
      </c>
      <c r="T16" s="49">
        <f t="shared" si="131"/>
        <v>-2.5049365742883292</v>
      </c>
      <c r="U16" s="49">
        <f t="shared" si="131"/>
        <v>-2.4640488026565031</v>
      </c>
      <c r="V16" s="49">
        <f t="shared" si="131"/>
        <v>-2.4239018653842419</v>
      </c>
      <c r="W16" s="49">
        <f t="shared" si="131"/>
        <v>-2.3844820209993118</v>
      </c>
      <c r="X16" s="49">
        <f t="shared" si="131"/>
        <v>-2.3457757841598159</v>
      </c>
      <c r="Y16" s="49">
        <f t="shared" si="131"/>
        <v>-2.3077699208749887</v>
      </c>
      <c r="Z16" s="49">
        <f t="shared" si="131"/>
        <v>-2.2704514438162064</v>
      </c>
      <c r="AA16" s="49">
        <f t="shared" si="131"/>
        <v>-2.2338076077142066</v>
      </c>
      <c r="AB16" s="49">
        <f t="shared" si="131"/>
        <v>-2.1978259048433255</v>
      </c>
      <c r="AC16" s="49">
        <f t="shared" ref="AC16:AM16" si="132">AC7+AC8</f>
        <v>-2.162494060589176</v>
      </c>
      <c r="AD16" s="49">
        <f t="shared" si="132"/>
        <v>-0.43671628247396022</v>
      </c>
      <c r="AE16" s="49">
        <f t="shared" si="132"/>
        <v>-0.42484752955247512</v>
      </c>
      <c r="AF16" s="49">
        <f t="shared" si="132"/>
        <v>-0.41305995620971886</v>
      </c>
      <c r="AG16" s="49">
        <f t="shared" si="132"/>
        <v>-0.40135256311009176</v>
      </c>
      <c r="AH16" s="49">
        <f t="shared" si="132"/>
        <v>-0.38972435997385829</v>
      </c>
      <c r="AI16" s="49">
        <f t="shared" si="132"/>
        <v>-0.37817436548143274</v>
      </c>
      <c r="AJ16" s="49">
        <f t="shared" si="132"/>
        <v>-0.3667016071794531</v>
      </c>
      <c r="AK16" s="49">
        <f t="shared" si="132"/>
        <v>-0.35530512138728831</v>
      </c>
      <c r="AL16" s="49">
        <f t="shared" si="132"/>
        <v>-0.34398395310441299</v>
      </c>
      <c r="AM16" s="49">
        <f t="shared" si="132"/>
        <v>-0.33273715591900016</v>
      </c>
      <c r="AN16" s="50"/>
    </row>
    <row r="17" spans="1:40" s="29" customFormat="1" ht="30" x14ac:dyDescent="0.25">
      <c r="A17" s="34">
        <v>12</v>
      </c>
      <c r="B17" s="46" t="s">
        <v>67</v>
      </c>
      <c r="C17" s="47" t="s">
        <v>1</v>
      </c>
      <c r="D17" s="47"/>
      <c r="E17" s="48"/>
      <c r="F17" s="48"/>
      <c r="G17" s="48"/>
      <c r="H17" s="49"/>
      <c r="I17" s="49">
        <f t="shared" ref="I17:AB17" si="133">I6+I9</f>
        <v>-1.476297081</v>
      </c>
      <c r="J17" s="49">
        <f t="shared" si="133"/>
        <v>-1.4504618820825002</v>
      </c>
      <c r="K17" s="49">
        <f t="shared" si="133"/>
        <v>-1.4250787991460563</v>
      </c>
      <c r="L17" s="49">
        <f t="shared" si="133"/>
        <v>-1.4001399201610003</v>
      </c>
      <c r="M17" s="49">
        <f t="shared" si="133"/>
        <v>-1.3756374715581829</v>
      </c>
      <c r="N17" s="49">
        <f t="shared" si="133"/>
        <v>-1.3515638158059144</v>
      </c>
      <c r="O17" s="49">
        <f t="shared" si="133"/>
        <v>-1.3279114490293114</v>
      </c>
      <c r="P17" s="49">
        <f t="shared" si="133"/>
        <v>-1.3046729986712982</v>
      </c>
      <c r="Q17" s="49">
        <f t="shared" si="133"/>
        <v>-1.2818412211945507</v>
      </c>
      <c r="R17" s="49">
        <f t="shared" si="133"/>
        <v>-1.259408999823646</v>
      </c>
      <c r="S17" s="49">
        <f t="shared" si="133"/>
        <v>0</v>
      </c>
      <c r="T17" s="49">
        <f t="shared" si="133"/>
        <v>0</v>
      </c>
      <c r="U17" s="49">
        <f t="shared" si="133"/>
        <v>0</v>
      </c>
      <c r="V17" s="49">
        <f t="shared" si="133"/>
        <v>0</v>
      </c>
      <c r="W17" s="49">
        <f t="shared" si="133"/>
        <v>0</v>
      </c>
      <c r="X17" s="49">
        <f t="shared" si="133"/>
        <v>0</v>
      </c>
      <c r="Y17" s="49">
        <f t="shared" si="133"/>
        <v>0</v>
      </c>
      <c r="Z17" s="49">
        <f t="shared" si="133"/>
        <v>0</v>
      </c>
      <c r="AA17" s="49">
        <f t="shared" si="133"/>
        <v>0</v>
      </c>
      <c r="AB17" s="49">
        <f t="shared" si="133"/>
        <v>0</v>
      </c>
      <c r="AC17" s="49">
        <f t="shared" ref="AC17:AM17" si="134">AC6+AC9</f>
        <v>0</v>
      </c>
      <c r="AD17" s="49">
        <f t="shared" si="134"/>
        <v>0</v>
      </c>
      <c r="AE17" s="49">
        <f t="shared" si="134"/>
        <v>0</v>
      </c>
      <c r="AF17" s="49">
        <f t="shared" si="134"/>
        <v>0</v>
      </c>
      <c r="AG17" s="49">
        <f t="shared" si="134"/>
        <v>0</v>
      </c>
      <c r="AH17" s="49">
        <f t="shared" si="134"/>
        <v>0</v>
      </c>
      <c r="AI17" s="49">
        <f t="shared" si="134"/>
        <v>0</v>
      </c>
      <c r="AJ17" s="49">
        <f t="shared" si="134"/>
        <v>0</v>
      </c>
      <c r="AK17" s="49">
        <f t="shared" si="134"/>
        <v>0</v>
      </c>
      <c r="AL17" s="49">
        <f t="shared" si="134"/>
        <v>0</v>
      </c>
      <c r="AM17" s="49">
        <f t="shared" si="134"/>
        <v>0</v>
      </c>
    </row>
    <row r="18" spans="1:40" s="29" customFormat="1" x14ac:dyDescent="0.25">
      <c r="A18" s="34">
        <v>13</v>
      </c>
      <c r="B18" s="35" t="s">
        <v>49</v>
      </c>
      <c r="C18" s="36" t="s">
        <v>4</v>
      </c>
      <c r="D18" s="51">
        <f>80988*4.1868/1000</f>
        <v>339.08055839999997</v>
      </c>
      <c r="E18" s="51">
        <f>78369*4.1868/1000</f>
        <v>328.11532919999996</v>
      </c>
      <c r="F18" s="48">
        <f>71695*4.1868/1000</f>
        <v>300.17262599999998</v>
      </c>
      <c r="G18" s="48">
        <f>74400*4.1868/1000</f>
        <v>311.49791999999997</v>
      </c>
      <c r="H18" s="48">
        <f>64419*4.1868/1000</f>
        <v>269.7094692</v>
      </c>
      <c r="I18" s="48">
        <f t="shared" ref="I18:X19" si="135">H18+I16</f>
        <v>261.74420788333958</v>
      </c>
      <c r="J18" s="48">
        <f t="shared" si="135"/>
        <v>254.02174651805205</v>
      </c>
      <c r="K18" s="48">
        <f t="shared" si="135"/>
        <v>246.53446353300893</v>
      </c>
      <c r="L18" s="48">
        <f t="shared" si="135"/>
        <v>240.39748973917906</v>
      </c>
      <c r="M18" s="48">
        <f t="shared" si="135"/>
        <v>235.19450294867579</v>
      </c>
      <c r="N18" s="48">
        <f t="shared" si="135"/>
        <v>230.16384802568709</v>
      </c>
      <c r="O18" s="48">
        <f t="shared" si="135"/>
        <v>227.44286057577901</v>
      </c>
      <c r="P18" s="48">
        <f t="shared" si="135"/>
        <v>224.76668050205561</v>
      </c>
      <c r="Q18" s="48">
        <f t="shared" si="135"/>
        <v>222.1344942471253</v>
      </c>
      <c r="R18" s="48">
        <f t="shared" si="135"/>
        <v>219.54550335064388</v>
      </c>
      <c r="S18" s="48">
        <f t="shared" si="135"/>
        <v>216.99892416789203</v>
      </c>
      <c r="T18" s="48">
        <f t="shared" si="135"/>
        <v>214.49398759360369</v>
      </c>
      <c r="U18" s="48">
        <f t="shared" si="135"/>
        <v>212.0299387909472</v>
      </c>
      <c r="V18" s="48">
        <f t="shared" si="135"/>
        <v>209.60603692556296</v>
      </c>
      <c r="W18" s="48">
        <f t="shared" si="135"/>
        <v>207.22155490456365</v>
      </c>
      <c r="X18" s="48">
        <f t="shared" si="135"/>
        <v>204.87577912040382</v>
      </c>
      <c r="Y18" s="48">
        <f t="shared" ref="Y18:Y19" si="136">X18+Y16</f>
        <v>202.56800919952883</v>
      </c>
      <c r="Z18" s="48">
        <f t="shared" ref="Z18:Z19" si="137">Y18+Z16</f>
        <v>200.29755775571263</v>
      </c>
      <c r="AA18" s="48">
        <f t="shared" ref="AA18:AA19" si="138">Z18+AA16</f>
        <v>198.06375014799843</v>
      </c>
      <c r="AB18" s="48">
        <f t="shared" ref="AB18:AB19" si="139">AA18+AB16</f>
        <v>195.86592424315512</v>
      </c>
      <c r="AC18" s="48">
        <f t="shared" ref="AC18:AC19" si="140">AB18+AC16</f>
        <v>193.70343018256594</v>
      </c>
      <c r="AD18" s="48">
        <f t="shared" ref="AD18:AD19" si="141">AC18+AD16</f>
        <v>193.26671390009199</v>
      </c>
      <c r="AE18" s="48">
        <f t="shared" ref="AE18:AE19" si="142">AD18+AE16</f>
        <v>192.84186637053952</v>
      </c>
      <c r="AF18" s="48">
        <f t="shared" ref="AF18:AF19" si="143">AE18+AF16</f>
        <v>192.42880641432981</v>
      </c>
      <c r="AG18" s="48">
        <f t="shared" ref="AG18:AG19" si="144">AF18+AG16</f>
        <v>192.02745385121972</v>
      </c>
      <c r="AH18" s="48">
        <f t="shared" ref="AH18:AH19" si="145">AG18+AH16</f>
        <v>191.63772949124586</v>
      </c>
      <c r="AI18" s="48">
        <f t="shared" ref="AI18:AI19" si="146">AH18+AI16</f>
        <v>191.25955512576442</v>
      </c>
      <c r="AJ18" s="48">
        <f t="shared" ref="AJ18:AJ19" si="147">AI18+AJ16</f>
        <v>190.89285351858496</v>
      </c>
      <c r="AK18" s="48">
        <f t="shared" ref="AK18:AK19" si="148">AJ18+AK16</f>
        <v>190.53754839719767</v>
      </c>
      <c r="AL18" s="48">
        <f t="shared" ref="AL18:AL19" si="149">AK18+AL16</f>
        <v>190.19356444409325</v>
      </c>
      <c r="AM18" s="48">
        <f t="shared" ref="AM18:AM19" si="150">AL18+AM16</f>
        <v>189.86082728817425</v>
      </c>
    </row>
    <row r="19" spans="1:40" s="29" customFormat="1" x14ac:dyDescent="0.25">
      <c r="A19" s="34">
        <v>14</v>
      </c>
      <c r="B19" s="35" t="s">
        <v>54</v>
      </c>
      <c r="C19" s="36" t="s">
        <v>1</v>
      </c>
      <c r="D19" s="52">
        <f>16420*4.1868/1000</f>
        <v>68.747255999999993</v>
      </c>
      <c r="E19" s="52">
        <f>18275*4.1868/1000</f>
        <v>76.513770000000008</v>
      </c>
      <c r="F19" s="48">
        <f>15500*4.1868/1000</f>
        <v>64.895399999999995</v>
      </c>
      <c r="G19" s="48">
        <f>18959*4.1868/1000</f>
        <v>79.377541199999996</v>
      </c>
      <c r="H19" s="48">
        <f>20149*4.1868/1000</f>
        <v>84.359833199999997</v>
      </c>
      <c r="I19" s="48">
        <f t="shared" ref="I19:V19" si="151">H19+I17</f>
        <v>82.883536118999999</v>
      </c>
      <c r="J19" s="48">
        <f t="shared" si="151"/>
        <v>81.433074236917491</v>
      </c>
      <c r="K19" s="48">
        <f t="shared" si="151"/>
        <v>80.007995437771442</v>
      </c>
      <c r="L19" s="48">
        <f t="shared" si="151"/>
        <v>78.607855517610446</v>
      </c>
      <c r="M19" s="48">
        <f t="shared" si="151"/>
        <v>77.232218046052267</v>
      </c>
      <c r="N19" s="48">
        <f t="shared" si="151"/>
        <v>75.88065423024635</v>
      </c>
      <c r="O19" s="48">
        <f t="shared" si="151"/>
        <v>74.552742781217034</v>
      </c>
      <c r="P19" s="48">
        <f t="shared" si="151"/>
        <v>73.248069782545741</v>
      </c>
      <c r="Q19" s="48">
        <f t="shared" si="151"/>
        <v>71.966228561351187</v>
      </c>
      <c r="R19" s="48">
        <f t="shared" si="151"/>
        <v>70.706819561527539</v>
      </c>
      <c r="S19" s="48">
        <f t="shared" si="151"/>
        <v>70.706819561527539</v>
      </c>
      <c r="T19" s="48">
        <f t="shared" si="151"/>
        <v>70.706819561527539</v>
      </c>
      <c r="U19" s="48">
        <f t="shared" si="151"/>
        <v>70.706819561527539</v>
      </c>
      <c r="V19" s="48">
        <f t="shared" si="151"/>
        <v>70.706819561527539</v>
      </c>
      <c r="W19" s="48">
        <f t="shared" si="135"/>
        <v>70.706819561527539</v>
      </c>
      <c r="X19" s="48">
        <f t="shared" si="135"/>
        <v>70.706819561527539</v>
      </c>
      <c r="Y19" s="48">
        <f t="shared" si="136"/>
        <v>70.706819561527539</v>
      </c>
      <c r="Z19" s="48">
        <f t="shared" si="137"/>
        <v>70.706819561527539</v>
      </c>
      <c r="AA19" s="48">
        <f t="shared" si="138"/>
        <v>70.706819561527539</v>
      </c>
      <c r="AB19" s="48">
        <f t="shared" si="139"/>
        <v>70.706819561527539</v>
      </c>
      <c r="AC19" s="48">
        <f t="shared" si="140"/>
        <v>70.706819561527539</v>
      </c>
      <c r="AD19" s="48">
        <f t="shared" si="141"/>
        <v>70.706819561527539</v>
      </c>
      <c r="AE19" s="48">
        <f t="shared" si="142"/>
        <v>70.706819561527539</v>
      </c>
      <c r="AF19" s="48">
        <f t="shared" si="143"/>
        <v>70.706819561527539</v>
      </c>
      <c r="AG19" s="48">
        <f t="shared" si="144"/>
        <v>70.706819561527539</v>
      </c>
      <c r="AH19" s="48">
        <f t="shared" si="145"/>
        <v>70.706819561527539</v>
      </c>
      <c r="AI19" s="48">
        <f t="shared" si="146"/>
        <v>70.706819561527539</v>
      </c>
      <c r="AJ19" s="48">
        <f t="shared" si="147"/>
        <v>70.706819561527539</v>
      </c>
      <c r="AK19" s="48">
        <f t="shared" si="148"/>
        <v>70.706819561527539</v>
      </c>
      <c r="AL19" s="48">
        <f t="shared" si="149"/>
        <v>70.706819561527539</v>
      </c>
      <c r="AM19" s="48">
        <f t="shared" si="150"/>
        <v>70.706819561527539</v>
      </c>
    </row>
    <row r="20" spans="1:40" s="29" customFormat="1" x14ac:dyDescent="0.25">
      <c r="A20" s="34">
        <v>15</v>
      </c>
      <c r="B20" s="35" t="s">
        <v>55</v>
      </c>
      <c r="C20" s="36" t="s">
        <v>1</v>
      </c>
      <c r="D20" s="48">
        <f>D18+D19</f>
        <v>407.82781439999997</v>
      </c>
      <c r="E20" s="48">
        <f>E18+E19</f>
        <v>404.62909919999998</v>
      </c>
      <c r="F20" s="48">
        <f>F18+F19</f>
        <v>365.06802599999997</v>
      </c>
      <c r="G20" s="48">
        <f t="shared" ref="G20" si="152">G18+G19</f>
        <v>390.87546119999996</v>
      </c>
      <c r="H20" s="48">
        <f t="shared" ref="H20:AB20" si="153">H18+H19</f>
        <v>354.06930239999997</v>
      </c>
      <c r="I20" s="48">
        <f t="shared" si="153"/>
        <v>344.62774400233957</v>
      </c>
      <c r="J20" s="48">
        <f t="shared" si="153"/>
        <v>335.45482075496955</v>
      </c>
      <c r="K20" s="48">
        <f t="shared" si="153"/>
        <v>326.54245897078039</v>
      </c>
      <c r="L20" s="48">
        <f t="shared" si="153"/>
        <v>319.0053452567895</v>
      </c>
      <c r="M20" s="48">
        <f t="shared" si="153"/>
        <v>312.42672099472804</v>
      </c>
      <c r="N20" s="48">
        <f t="shared" si="153"/>
        <v>306.04450225593342</v>
      </c>
      <c r="O20" s="48">
        <f t="shared" si="153"/>
        <v>301.99560335699607</v>
      </c>
      <c r="P20" s="48">
        <f t="shared" si="153"/>
        <v>298.01475028460135</v>
      </c>
      <c r="Q20" s="48">
        <f t="shared" si="153"/>
        <v>294.10072280847646</v>
      </c>
      <c r="R20" s="48">
        <f t="shared" si="153"/>
        <v>290.25232291217139</v>
      </c>
      <c r="S20" s="48">
        <f t="shared" si="153"/>
        <v>287.70574372941957</v>
      </c>
      <c r="T20" s="48">
        <f t="shared" si="153"/>
        <v>285.2008071551312</v>
      </c>
      <c r="U20" s="48">
        <f t="shared" si="153"/>
        <v>282.73675835247474</v>
      </c>
      <c r="V20" s="48">
        <f t="shared" si="153"/>
        <v>280.31285648709047</v>
      </c>
      <c r="W20" s="48">
        <f t="shared" si="153"/>
        <v>277.92837446609121</v>
      </c>
      <c r="X20" s="48">
        <f t="shared" si="153"/>
        <v>275.58259868193136</v>
      </c>
      <c r="Y20" s="48">
        <f t="shared" si="153"/>
        <v>273.27482876105637</v>
      </c>
      <c r="Z20" s="48">
        <f t="shared" si="153"/>
        <v>271.00437731724014</v>
      </c>
      <c r="AA20" s="48">
        <f t="shared" si="153"/>
        <v>268.77056970952594</v>
      </c>
      <c r="AB20" s="48">
        <f t="shared" si="153"/>
        <v>266.57274380468266</v>
      </c>
      <c r="AC20" s="48">
        <f t="shared" ref="AC20:AM20" si="154">AC18+AC19</f>
        <v>264.41024974409345</v>
      </c>
      <c r="AD20" s="48">
        <f t="shared" si="154"/>
        <v>263.97353346161952</v>
      </c>
      <c r="AE20" s="48">
        <f t="shared" si="154"/>
        <v>263.54868593206709</v>
      </c>
      <c r="AF20" s="48">
        <f t="shared" si="154"/>
        <v>263.13562597585735</v>
      </c>
      <c r="AG20" s="48">
        <f t="shared" si="154"/>
        <v>262.73427341274726</v>
      </c>
      <c r="AH20" s="48">
        <f t="shared" si="154"/>
        <v>262.3445490527734</v>
      </c>
      <c r="AI20" s="48">
        <f t="shared" si="154"/>
        <v>261.96637468729193</v>
      </c>
      <c r="AJ20" s="48">
        <f t="shared" si="154"/>
        <v>261.5996730801125</v>
      </c>
      <c r="AK20" s="48">
        <f t="shared" si="154"/>
        <v>261.24436795872521</v>
      </c>
      <c r="AL20" s="48">
        <f t="shared" si="154"/>
        <v>260.90038400562082</v>
      </c>
      <c r="AM20" s="48">
        <f t="shared" si="154"/>
        <v>260.56764684970176</v>
      </c>
    </row>
    <row r="21" spans="1:40" s="29" customFormat="1" x14ac:dyDescent="0.25">
      <c r="A21" s="34">
        <v>16</v>
      </c>
      <c r="B21" s="35" t="s">
        <v>37</v>
      </c>
      <c r="C21" s="36" t="s">
        <v>1</v>
      </c>
      <c r="D21" s="53">
        <f>(44796+22477)*4.1868/1000</f>
        <v>281.65859639999996</v>
      </c>
      <c r="E21" s="53">
        <f>65792*4.1868/1000</f>
        <v>275.45794559999996</v>
      </c>
      <c r="F21" s="53">
        <f>66722*4.1868/1000</f>
        <v>279.35166959999998</v>
      </c>
      <c r="G21" s="53">
        <f>(37763+36131)*4.1868/1000</f>
        <v>309.37939919999997</v>
      </c>
      <c r="H21" s="53">
        <f>(31295+33981)*4.1868/1000</f>
        <v>273.29755679999994</v>
      </c>
      <c r="I21" s="53">
        <f>H21</f>
        <v>273.29755679999994</v>
      </c>
      <c r="J21" s="53">
        <f>I21</f>
        <v>273.29755679999994</v>
      </c>
      <c r="K21" s="53">
        <f t="shared" ref="K21:P21" si="155">J21</f>
        <v>273.29755679999994</v>
      </c>
      <c r="L21" s="53">
        <f>K21-L38</f>
        <v>255.61395679999993</v>
      </c>
      <c r="M21" s="53">
        <f>L21-M38</f>
        <v>225.06955679999993</v>
      </c>
      <c r="N21" s="53">
        <f>M21-N38</f>
        <v>192.91755679999994</v>
      </c>
      <c r="O21" s="53">
        <f t="shared" si="155"/>
        <v>192.91755679999994</v>
      </c>
      <c r="P21" s="53">
        <f t="shared" si="155"/>
        <v>192.91755679999994</v>
      </c>
      <c r="Q21" s="53">
        <f t="shared" ref="Q21" si="156">P21</f>
        <v>192.91755679999994</v>
      </c>
      <c r="R21" s="53">
        <f t="shared" ref="R21" si="157">Q21</f>
        <v>192.91755679999994</v>
      </c>
      <c r="S21" s="53">
        <f t="shared" ref="S21" si="158">R21</f>
        <v>192.91755679999994</v>
      </c>
      <c r="T21" s="53">
        <f t="shared" ref="T21" si="159">S21</f>
        <v>192.91755679999994</v>
      </c>
      <c r="U21" s="53">
        <f t="shared" ref="U21" si="160">T21</f>
        <v>192.91755679999994</v>
      </c>
      <c r="V21" s="53">
        <f t="shared" ref="V21" si="161">U21</f>
        <v>192.91755679999994</v>
      </c>
      <c r="W21" s="53">
        <f t="shared" ref="W21" si="162">V21</f>
        <v>192.91755679999994</v>
      </c>
      <c r="X21" s="53">
        <f t="shared" ref="X21" si="163">W21</f>
        <v>192.91755679999994</v>
      </c>
      <c r="Y21" s="53">
        <f t="shared" ref="Y21" si="164">X21</f>
        <v>192.91755679999994</v>
      </c>
      <c r="Z21" s="53">
        <f t="shared" ref="Z21" si="165">Y21</f>
        <v>192.91755679999994</v>
      </c>
      <c r="AA21" s="53">
        <f t="shared" ref="AA21" si="166">Z21</f>
        <v>192.91755679999994</v>
      </c>
      <c r="AB21" s="53">
        <f t="shared" ref="AB21" si="167">AA21</f>
        <v>192.91755679999994</v>
      </c>
      <c r="AC21" s="53">
        <f t="shared" ref="AC21" si="168">AB21</f>
        <v>192.91755679999994</v>
      </c>
      <c r="AD21" s="53">
        <f t="shared" ref="AD21" si="169">AC21</f>
        <v>192.91755679999994</v>
      </c>
      <c r="AE21" s="53">
        <f t="shared" ref="AE21" si="170">AD21</f>
        <v>192.91755679999994</v>
      </c>
      <c r="AF21" s="53">
        <f t="shared" ref="AF21" si="171">AE21</f>
        <v>192.91755679999994</v>
      </c>
      <c r="AG21" s="53">
        <f t="shared" ref="AG21" si="172">AF21</f>
        <v>192.91755679999994</v>
      </c>
      <c r="AH21" s="53">
        <f t="shared" ref="AH21" si="173">AG21</f>
        <v>192.91755679999994</v>
      </c>
      <c r="AI21" s="53">
        <f t="shared" ref="AI21" si="174">AH21</f>
        <v>192.91755679999994</v>
      </c>
      <c r="AJ21" s="53">
        <f t="shared" ref="AJ21" si="175">AI21</f>
        <v>192.91755679999994</v>
      </c>
      <c r="AK21" s="53">
        <f t="shared" ref="AK21" si="176">AJ21</f>
        <v>192.91755679999994</v>
      </c>
      <c r="AL21" s="53">
        <f t="shared" ref="AL21" si="177">AK21</f>
        <v>192.91755679999994</v>
      </c>
      <c r="AM21" s="53">
        <f t="shared" ref="AM21" si="178">AL21</f>
        <v>192.91755679999994</v>
      </c>
      <c r="AN21" s="54"/>
    </row>
    <row r="22" spans="1:40" s="29" customFormat="1" x14ac:dyDescent="0.25">
      <c r="A22" s="34">
        <v>17</v>
      </c>
      <c r="B22" s="55" t="s">
        <v>38</v>
      </c>
      <c r="C22" s="56" t="s">
        <v>1</v>
      </c>
      <c r="D22" s="57">
        <f t="shared" ref="D22:AB22" si="179">D20+D21</f>
        <v>689.48641079999993</v>
      </c>
      <c r="E22" s="57">
        <f t="shared" si="179"/>
        <v>680.08704479999994</v>
      </c>
      <c r="F22" s="57">
        <f t="shared" si="179"/>
        <v>644.41969559999995</v>
      </c>
      <c r="G22" s="57">
        <f t="shared" si="179"/>
        <v>700.25486039999987</v>
      </c>
      <c r="H22" s="57">
        <f t="shared" si="179"/>
        <v>627.36685919999991</v>
      </c>
      <c r="I22" s="57">
        <f t="shared" si="179"/>
        <v>617.92530080233951</v>
      </c>
      <c r="J22" s="57">
        <f t="shared" si="179"/>
        <v>608.75237755496948</v>
      </c>
      <c r="K22" s="57">
        <f t="shared" si="179"/>
        <v>599.84001577078038</v>
      </c>
      <c r="L22" s="57">
        <f t="shared" si="179"/>
        <v>574.61930205678937</v>
      </c>
      <c r="M22" s="57">
        <f t="shared" si="179"/>
        <v>537.49627779472803</v>
      </c>
      <c r="N22" s="57">
        <f t="shared" si="179"/>
        <v>498.96205905593337</v>
      </c>
      <c r="O22" s="57">
        <f t="shared" si="179"/>
        <v>494.91316015699601</v>
      </c>
      <c r="P22" s="57">
        <f t="shared" si="179"/>
        <v>490.93230708460129</v>
      </c>
      <c r="Q22" s="57">
        <f t="shared" si="179"/>
        <v>487.0182796084764</v>
      </c>
      <c r="R22" s="57">
        <f t="shared" si="179"/>
        <v>483.16987971217134</v>
      </c>
      <c r="S22" s="57">
        <f t="shared" si="179"/>
        <v>480.62330052941951</v>
      </c>
      <c r="T22" s="57">
        <f t="shared" si="179"/>
        <v>478.11836395513114</v>
      </c>
      <c r="U22" s="57">
        <f t="shared" si="179"/>
        <v>475.65431515247468</v>
      </c>
      <c r="V22" s="57">
        <f t="shared" si="179"/>
        <v>473.23041328709041</v>
      </c>
      <c r="W22" s="57">
        <f t="shared" si="179"/>
        <v>470.84593126609116</v>
      </c>
      <c r="X22" s="57">
        <f t="shared" si="179"/>
        <v>468.5001554819313</v>
      </c>
      <c r="Y22" s="57">
        <f t="shared" si="179"/>
        <v>466.19238556105631</v>
      </c>
      <c r="Z22" s="57">
        <f t="shared" si="179"/>
        <v>463.92193411724008</v>
      </c>
      <c r="AA22" s="57">
        <f t="shared" si="179"/>
        <v>461.68812650952589</v>
      </c>
      <c r="AB22" s="57">
        <f t="shared" si="179"/>
        <v>459.4903006046826</v>
      </c>
      <c r="AC22" s="57">
        <f t="shared" ref="AC22:AM22" si="180">AC20+AC21</f>
        <v>457.32780654409339</v>
      </c>
      <c r="AD22" s="57">
        <f t="shared" si="180"/>
        <v>456.89109026161947</v>
      </c>
      <c r="AE22" s="57">
        <f t="shared" si="180"/>
        <v>456.46624273206703</v>
      </c>
      <c r="AF22" s="57">
        <f t="shared" si="180"/>
        <v>456.05318277585729</v>
      </c>
      <c r="AG22" s="57">
        <f t="shared" si="180"/>
        <v>455.6518302127472</v>
      </c>
      <c r="AH22" s="57">
        <f t="shared" si="180"/>
        <v>455.26210585277335</v>
      </c>
      <c r="AI22" s="57">
        <f t="shared" si="180"/>
        <v>454.88393148729187</v>
      </c>
      <c r="AJ22" s="57">
        <f t="shared" si="180"/>
        <v>454.51722988011244</v>
      </c>
      <c r="AK22" s="57">
        <f t="shared" si="180"/>
        <v>454.16192475872515</v>
      </c>
      <c r="AL22" s="57">
        <f t="shared" si="180"/>
        <v>453.81794080562076</v>
      </c>
      <c r="AM22" s="57">
        <f t="shared" si="180"/>
        <v>453.4852036497017</v>
      </c>
    </row>
    <row r="23" spans="1:40" s="29" customFormat="1" x14ac:dyDescent="0.25">
      <c r="A23" s="34">
        <v>18</v>
      </c>
      <c r="B23" s="58"/>
      <c r="C23" s="56" t="s">
        <v>8</v>
      </c>
      <c r="D23" s="56"/>
      <c r="E23" s="57">
        <f>E22*1000/4.1868</f>
        <v>162436</v>
      </c>
      <c r="F23" s="57">
        <f t="shared" ref="F23:AB23" si="181">F22*1000/4.1868</f>
        <v>153917</v>
      </c>
      <c r="G23" s="57">
        <f t="shared" si="181"/>
        <v>167252.99999999997</v>
      </c>
      <c r="H23" s="57">
        <f t="shared" si="181"/>
        <v>149844</v>
      </c>
      <c r="I23" s="57">
        <f t="shared" si="181"/>
        <v>147588.9225189499</v>
      </c>
      <c r="J23" s="57">
        <f t="shared" si="181"/>
        <v>145398.00744123664</v>
      </c>
      <c r="K23" s="57">
        <f t="shared" si="181"/>
        <v>143269.32639982336</v>
      </c>
      <c r="L23" s="57">
        <f t="shared" si="181"/>
        <v>137245.46241921978</v>
      </c>
      <c r="M23" s="57">
        <f t="shared" si="181"/>
        <v>128378.78040382346</v>
      </c>
      <c r="N23" s="57">
        <f t="shared" si="181"/>
        <v>119175.04037831599</v>
      </c>
      <c r="O23" s="57">
        <f t="shared" si="181"/>
        <v>118207.97749044521</v>
      </c>
      <c r="P23" s="57">
        <f t="shared" si="181"/>
        <v>117257.16706902678</v>
      </c>
      <c r="Q23" s="57">
        <f t="shared" si="181"/>
        <v>116322.31766706707</v>
      </c>
      <c r="R23" s="57">
        <f t="shared" si="181"/>
        <v>115403.14314325292</v>
      </c>
      <c r="S23" s="57">
        <f t="shared" si="181"/>
        <v>114794.90315501565</v>
      </c>
      <c r="T23" s="57">
        <f t="shared" si="181"/>
        <v>114196.60933293473</v>
      </c>
      <c r="U23" s="57">
        <f t="shared" si="181"/>
        <v>113608.08138733034</v>
      </c>
      <c r="V23" s="57">
        <f t="shared" si="181"/>
        <v>113029.14237295558</v>
      </c>
      <c r="W23" s="57">
        <f t="shared" si="181"/>
        <v>112459.61862665787</v>
      </c>
      <c r="X23" s="57">
        <f t="shared" si="181"/>
        <v>111899.33970620314</v>
      </c>
      <c r="Y23" s="57">
        <f t="shared" si="181"/>
        <v>111348.1383302418</v>
      </c>
      <c r="Z23" s="57">
        <f t="shared" si="181"/>
        <v>110805.8503193943</v>
      </c>
      <c r="AA23" s="57">
        <f t="shared" si="181"/>
        <v>110272.31453843649</v>
      </c>
      <c r="AB23" s="57">
        <f t="shared" si="181"/>
        <v>109747.37283956306</v>
      </c>
      <c r="AC23" s="57">
        <f t="shared" ref="AC23:AM23" si="182">AC22*1000/4.1868</f>
        <v>109230.87000671</v>
      </c>
      <c r="AD23" s="57">
        <f t="shared" si="182"/>
        <v>109126.56211465069</v>
      </c>
      <c r="AE23" s="57">
        <f t="shared" si="182"/>
        <v>109025.08902552475</v>
      </c>
      <c r="AF23" s="57">
        <f t="shared" si="182"/>
        <v>108926.43134992292</v>
      </c>
      <c r="AG23" s="57">
        <f t="shared" si="182"/>
        <v>108830.56993712316</v>
      </c>
      <c r="AH23" s="57">
        <f t="shared" si="182"/>
        <v>108737.48587292762</v>
      </c>
      <c r="AI23" s="57">
        <f t="shared" si="182"/>
        <v>108647.16047752266</v>
      </c>
      <c r="AJ23" s="57">
        <f t="shared" si="182"/>
        <v>108559.57530336115</v>
      </c>
      <c r="AK23" s="57">
        <f t="shared" si="182"/>
        <v>108474.71213306706</v>
      </c>
      <c r="AL23" s="57">
        <f t="shared" si="182"/>
        <v>108392.55297736237</v>
      </c>
      <c r="AM23" s="57">
        <f t="shared" si="182"/>
        <v>108313.0800730156</v>
      </c>
    </row>
    <row r="24" spans="1:40" s="29" customFormat="1" x14ac:dyDescent="0.25">
      <c r="A24" s="59"/>
      <c r="B24" s="58"/>
      <c r="C24" s="56"/>
      <c r="D24" s="56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</row>
    <row r="25" spans="1:40" s="29" customFormat="1" x14ac:dyDescent="0.25">
      <c r="A25" s="34">
        <v>19</v>
      </c>
      <c r="B25" s="60" t="s">
        <v>9</v>
      </c>
      <c r="C25" s="36" t="s">
        <v>10</v>
      </c>
      <c r="D25" s="36"/>
      <c r="E25" s="61">
        <f>E18/E14</f>
        <v>1.9989967661752161E-2</v>
      </c>
      <c r="F25" s="61">
        <f t="shared" ref="F25:AB25" si="183">F18/F14</f>
        <v>1.8920430255278915E-2</v>
      </c>
      <c r="G25" s="61">
        <f t="shared" si="183"/>
        <v>2.0253440832249673E-2</v>
      </c>
      <c r="H25" s="61">
        <f t="shared" si="183"/>
        <v>1.7912455043109524E-2</v>
      </c>
      <c r="I25" s="61">
        <f t="shared" si="183"/>
        <v>1.7755721061482314E-2</v>
      </c>
      <c r="J25" s="61">
        <f t="shared" si="183"/>
        <v>1.7600358502194345E-2</v>
      </c>
      <c r="K25" s="61">
        <f t="shared" si="183"/>
        <v>1.7446355365300141E-2</v>
      </c>
      <c r="L25" s="61">
        <f t="shared" si="183"/>
        <v>1.7293699755853768E-2</v>
      </c>
      <c r="M25" s="61">
        <f t="shared" si="183"/>
        <v>1.7142379882990045E-2</v>
      </c>
      <c r="N25" s="61">
        <f t="shared" si="183"/>
        <v>1.6992384059013883E-2</v>
      </c>
      <c r="O25" s="61">
        <f t="shared" si="183"/>
        <v>1.6843700698497509E-2</v>
      </c>
      <c r="P25" s="61">
        <f t="shared" si="183"/>
        <v>1.6696318317385658E-2</v>
      </c>
      <c r="Q25" s="61">
        <f t="shared" si="183"/>
        <v>1.6550225532108533E-2</v>
      </c>
      <c r="R25" s="61">
        <f t="shared" si="183"/>
        <v>1.6405411058702583E-2</v>
      </c>
      <c r="S25" s="61">
        <f t="shared" si="183"/>
        <v>1.6261863711938933E-2</v>
      </c>
      <c r="T25" s="61">
        <f t="shared" si="183"/>
        <v>1.6119572404459468E-2</v>
      </c>
      <c r="U25" s="61">
        <f t="shared" si="183"/>
        <v>1.5978526145920449E-2</v>
      </c>
      <c r="V25" s="61">
        <f t="shared" si="183"/>
        <v>1.5838714042143643E-2</v>
      </c>
      <c r="W25" s="61">
        <f t="shared" si="183"/>
        <v>1.5700125294274888E-2</v>
      </c>
      <c r="X25" s="61">
        <f t="shared" si="183"/>
        <v>1.5562749197949982E-2</v>
      </c>
      <c r="Y25" s="61">
        <f t="shared" si="183"/>
        <v>1.5426575142467919E-2</v>
      </c>
      <c r="Z25" s="61">
        <f t="shared" si="183"/>
        <v>1.5291592609971325E-2</v>
      </c>
      <c r="AA25" s="61">
        <f t="shared" si="183"/>
        <v>1.5157791174634077E-2</v>
      </c>
      <c r="AB25" s="61">
        <f t="shared" si="183"/>
        <v>1.502516050185603E-2</v>
      </c>
      <c r="AC25" s="61">
        <f t="shared" ref="AC25:AM25" si="184">AC18/AC14</f>
        <v>1.4893690347464789E-2</v>
      </c>
      <c r="AD25" s="61">
        <f t="shared" si="184"/>
        <v>1.4893690347464789E-2</v>
      </c>
      <c r="AE25" s="61">
        <f t="shared" si="184"/>
        <v>1.4893690347464791E-2</v>
      </c>
      <c r="AF25" s="61">
        <f t="shared" si="184"/>
        <v>1.4893690347464791E-2</v>
      </c>
      <c r="AG25" s="61">
        <f t="shared" si="184"/>
        <v>1.4893690347464791E-2</v>
      </c>
      <c r="AH25" s="61">
        <f t="shared" si="184"/>
        <v>1.4893690347464791E-2</v>
      </c>
      <c r="AI25" s="61">
        <f t="shared" si="184"/>
        <v>1.4893690347464791E-2</v>
      </c>
      <c r="AJ25" s="61">
        <f t="shared" si="184"/>
        <v>1.4893690347464789E-2</v>
      </c>
      <c r="AK25" s="61">
        <f t="shared" si="184"/>
        <v>1.4893690347464789E-2</v>
      </c>
      <c r="AL25" s="61">
        <f t="shared" si="184"/>
        <v>1.4893690347464789E-2</v>
      </c>
      <c r="AM25" s="61">
        <f t="shared" si="184"/>
        <v>1.4893690347464789E-2</v>
      </c>
    </row>
    <row r="26" spans="1:40" s="29" customFormat="1" x14ac:dyDescent="0.25">
      <c r="A26" s="34">
        <v>20</v>
      </c>
      <c r="B26" s="60"/>
      <c r="C26" s="36" t="s">
        <v>11</v>
      </c>
      <c r="D26" s="36"/>
      <c r="E26" s="48">
        <f t="shared" ref="E26:AB26" si="185">E25*1000/4.1868</f>
        <v>4.7745217497258432</v>
      </c>
      <c r="F26" s="48">
        <f t="shared" si="185"/>
        <v>4.5190671289000948</v>
      </c>
      <c r="G26" s="48">
        <f t="shared" si="185"/>
        <v>4.8374512353706107</v>
      </c>
      <c r="H26" s="48">
        <f t="shared" si="185"/>
        <v>4.2783163855712063</v>
      </c>
      <c r="I26" s="48">
        <f t="shared" si="185"/>
        <v>4.2408811171974579</v>
      </c>
      <c r="J26" s="48">
        <f t="shared" si="185"/>
        <v>4.2037734074219806</v>
      </c>
      <c r="K26" s="48">
        <f t="shared" si="185"/>
        <v>4.1669903901070375</v>
      </c>
      <c r="L26" s="48">
        <f t="shared" si="185"/>
        <v>4.1305292241936016</v>
      </c>
      <c r="M26" s="48">
        <f t="shared" si="185"/>
        <v>4.0943870934819069</v>
      </c>
      <c r="N26" s="48">
        <f t="shared" si="185"/>
        <v>4.0585612064139402</v>
      </c>
      <c r="O26" s="48">
        <f t="shared" si="185"/>
        <v>4.023048795857818</v>
      </c>
      <c r="P26" s="48">
        <f t="shared" si="185"/>
        <v>3.9878471188940616</v>
      </c>
      <c r="Q26" s="48">
        <f t="shared" si="185"/>
        <v>3.9529534566037392</v>
      </c>
      <c r="R26" s="48">
        <f t="shared" si="185"/>
        <v>3.9183651138584561</v>
      </c>
      <c r="S26" s="48">
        <f t="shared" si="185"/>
        <v>3.8840794191121937</v>
      </c>
      <c r="T26" s="48">
        <f t="shared" si="185"/>
        <v>3.8500937241949624</v>
      </c>
      <c r="U26" s="48">
        <f t="shared" si="185"/>
        <v>3.8164054041082571</v>
      </c>
      <c r="V26" s="48">
        <f t="shared" si="185"/>
        <v>3.7830118568223088</v>
      </c>
      <c r="W26" s="48">
        <f t="shared" si="185"/>
        <v>3.7499105030751143</v>
      </c>
      <c r="X26" s="48">
        <f t="shared" si="185"/>
        <v>3.717098786173207</v>
      </c>
      <c r="Y26" s="48">
        <f t="shared" si="185"/>
        <v>3.6845741717941913</v>
      </c>
      <c r="Z26" s="48">
        <f t="shared" si="185"/>
        <v>3.6523341477909921</v>
      </c>
      <c r="AA26" s="48">
        <f t="shared" si="185"/>
        <v>3.6203762239978214</v>
      </c>
      <c r="AB26" s="48">
        <f t="shared" si="185"/>
        <v>3.5886979320378405</v>
      </c>
      <c r="AC26" s="48">
        <f t="shared" ref="AC26:AM26" si="186">AC25*1000/4.1868</f>
        <v>3.557296825132509</v>
      </c>
      <c r="AD26" s="48">
        <f t="shared" si="186"/>
        <v>3.557296825132509</v>
      </c>
      <c r="AE26" s="48">
        <f t="shared" si="186"/>
        <v>3.5572968251325094</v>
      </c>
      <c r="AF26" s="48">
        <f t="shared" si="186"/>
        <v>3.5572968251325094</v>
      </c>
      <c r="AG26" s="48">
        <f t="shared" si="186"/>
        <v>3.5572968251325094</v>
      </c>
      <c r="AH26" s="48">
        <f t="shared" si="186"/>
        <v>3.5572968251325094</v>
      </c>
      <c r="AI26" s="48">
        <f t="shared" si="186"/>
        <v>3.5572968251325094</v>
      </c>
      <c r="AJ26" s="48">
        <f t="shared" si="186"/>
        <v>3.557296825132509</v>
      </c>
      <c r="AK26" s="48">
        <f t="shared" si="186"/>
        <v>3.557296825132509</v>
      </c>
      <c r="AL26" s="48">
        <f t="shared" si="186"/>
        <v>3.557296825132509</v>
      </c>
      <c r="AM26" s="48">
        <f t="shared" si="186"/>
        <v>3.557296825132509</v>
      </c>
    </row>
    <row r="27" spans="1:40" s="29" customFormat="1" x14ac:dyDescent="0.25">
      <c r="A27" s="34">
        <v>21</v>
      </c>
      <c r="B27" s="60"/>
      <c r="C27" s="62" t="s">
        <v>12</v>
      </c>
      <c r="D27" s="62"/>
      <c r="E27" s="48">
        <f t="shared" ref="E27:AB27" si="187">E26*1.162*1000/50</f>
        <v>110.95988546362859</v>
      </c>
      <c r="F27" s="48">
        <f t="shared" si="187"/>
        <v>105.0231200756382</v>
      </c>
      <c r="G27" s="48">
        <f t="shared" si="187"/>
        <v>112.42236671001299</v>
      </c>
      <c r="H27" s="48">
        <f t="shared" si="187"/>
        <v>99.428072800674812</v>
      </c>
      <c r="I27" s="48">
        <f t="shared" si="187"/>
        <v>98.558077163668912</v>
      </c>
      <c r="J27" s="48">
        <f t="shared" si="187"/>
        <v>97.695693988486823</v>
      </c>
      <c r="K27" s="48">
        <f t="shared" si="187"/>
        <v>96.840856666087547</v>
      </c>
      <c r="L27" s="48">
        <f t="shared" si="187"/>
        <v>95.993499170259298</v>
      </c>
      <c r="M27" s="48">
        <f t="shared" si="187"/>
        <v>95.153556052519505</v>
      </c>
      <c r="N27" s="48">
        <f t="shared" si="187"/>
        <v>94.320962437059976</v>
      </c>
      <c r="O27" s="48">
        <f t="shared" si="187"/>
        <v>93.495654015735695</v>
      </c>
      <c r="P27" s="48">
        <f t="shared" si="187"/>
        <v>92.677567043097994</v>
      </c>
      <c r="Q27" s="48">
        <f t="shared" si="187"/>
        <v>91.866638331470881</v>
      </c>
      <c r="R27" s="48">
        <f t="shared" si="187"/>
        <v>91.062805246070511</v>
      </c>
      <c r="S27" s="48">
        <f t="shared" si="187"/>
        <v>90.266005700167383</v>
      </c>
      <c r="T27" s="48">
        <f t="shared" si="187"/>
        <v>89.47617815029092</v>
      </c>
      <c r="U27" s="48">
        <f t="shared" si="187"/>
        <v>88.693261591475888</v>
      </c>
      <c r="V27" s="48">
        <f t="shared" si="187"/>
        <v>87.917195552550439</v>
      </c>
      <c r="W27" s="48">
        <f t="shared" si="187"/>
        <v>87.147920091465664</v>
      </c>
      <c r="X27" s="48">
        <f t="shared" si="187"/>
        <v>86.385375790665336</v>
      </c>
      <c r="Y27" s="48">
        <f t="shared" si="187"/>
        <v>85.629503752497001</v>
      </c>
      <c r="Z27" s="48">
        <f t="shared" si="187"/>
        <v>84.880245594662654</v>
      </c>
      <c r="AA27" s="48">
        <f t="shared" si="187"/>
        <v>84.137543445709355</v>
      </c>
      <c r="AB27" s="48">
        <f t="shared" si="187"/>
        <v>83.40133994055941</v>
      </c>
      <c r="AC27" s="48">
        <f t="shared" ref="AC27:AM27" si="188">AC26*1.162*1000/50</f>
        <v>82.67157821607951</v>
      </c>
      <c r="AD27" s="48">
        <f t="shared" si="188"/>
        <v>82.67157821607951</v>
      </c>
      <c r="AE27" s="48">
        <f t="shared" si="188"/>
        <v>82.67157821607951</v>
      </c>
      <c r="AF27" s="48">
        <f t="shared" si="188"/>
        <v>82.67157821607951</v>
      </c>
      <c r="AG27" s="48">
        <f t="shared" si="188"/>
        <v>82.67157821607951</v>
      </c>
      <c r="AH27" s="48">
        <f t="shared" si="188"/>
        <v>82.67157821607951</v>
      </c>
      <c r="AI27" s="48">
        <f t="shared" si="188"/>
        <v>82.67157821607951</v>
      </c>
      <c r="AJ27" s="48">
        <f t="shared" si="188"/>
        <v>82.67157821607951</v>
      </c>
      <c r="AK27" s="48">
        <f t="shared" si="188"/>
        <v>82.67157821607951</v>
      </c>
      <c r="AL27" s="48">
        <f t="shared" si="188"/>
        <v>82.67157821607951</v>
      </c>
      <c r="AM27" s="48">
        <f t="shared" si="188"/>
        <v>82.67157821607951</v>
      </c>
    </row>
    <row r="28" spans="1:40" s="29" customFormat="1" x14ac:dyDescent="0.25">
      <c r="A28" s="42"/>
      <c r="B28" s="63"/>
      <c r="C28" s="64"/>
      <c r="D28" s="64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</row>
    <row r="29" spans="1:40" s="29" customFormat="1" x14ac:dyDescent="0.25">
      <c r="A29" s="42">
        <v>22</v>
      </c>
      <c r="B29" s="63" t="s">
        <v>56</v>
      </c>
      <c r="C29" s="64" t="s">
        <v>32</v>
      </c>
      <c r="D29" s="64"/>
      <c r="E29" s="49">
        <f t="shared" ref="E29:AB29" si="189">E19/E15</f>
        <v>0.12794944816053513</v>
      </c>
      <c r="F29" s="49">
        <f t="shared" si="189"/>
        <v>0.11074300341296928</v>
      </c>
      <c r="G29" s="49">
        <f t="shared" si="189"/>
        <v>0.13340763226890756</v>
      </c>
      <c r="H29" s="49">
        <f t="shared" si="189"/>
        <v>0.15564544870848707</v>
      </c>
      <c r="I29" s="49">
        <f t="shared" si="189"/>
        <v>0.15292165335608857</v>
      </c>
      <c r="J29" s="49">
        <f t="shared" si="189"/>
        <v>0.150245524422357</v>
      </c>
      <c r="K29" s="49">
        <f t="shared" si="189"/>
        <v>0.14761622774496577</v>
      </c>
      <c r="L29" s="49">
        <f t="shared" si="189"/>
        <v>0.14503294375942888</v>
      </c>
      <c r="M29" s="49">
        <f t="shared" si="189"/>
        <v>0.14249486724363886</v>
      </c>
      <c r="N29" s="49">
        <f t="shared" si="189"/>
        <v>0.14000120706687519</v>
      </c>
      <c r="O29" s="49">
        <f t="shared" si="189"/>
        <v>0.13755118594320487</v>
      </c>
      <c r="P29" s="49">
        <f t="shared" si="189"/>
        <v>0.13514404018919879</v>
      </c>
      <c r="Q29" s="49">
        <f t="shared" si="189"/>
        <v>0.1327790194858878</v>
      </c>
      <c r="R29" s="49">
        <f t="shared" si="189"/>
        <v>0.13045538664488476</v>
      </c>
      <c r="S29" s="49">
        <f t="shared" si="189"/>
        <v>0.13045538664488476</v>
      </c>
      <c r="T29" s="49">
        <f t="shared" si="189"/>
        <v>0.13045538664488476</v>
      </c>
      <c r="U29" s="49">
        <f t="shared" si="189"/>
        <v>0.13045538664488476</v>
      </c>
      <c r="V29" s="49">
        <f t="shared" si="189"/>
        <v>0.13045538664488476</v>
      </c>
      <c r="W29" s="49">
        <f t="shared" si="189"/>
        <v>0.13045538664488476</v>
      </c>
      <c r="X29" s="49">
        <f t="shared" si="189"/>
        <v>0.13045538664488476</v>
      </c>
      <c r="Y29" s="49">
        <f t="shared" si="189"/>
        <v>0.13045538664488476</v>
      </c>
      <c r="Z29" s="49">
        <f t="shared" si="189"/>
        <v>0.13045538664488476</v>
      </c>
      <c r="AA29" s="49">
        <f t="shared" si="189"/>
        <v>0.13045538664488476</v>
      </c>
      <c r="AB29" s="49">
        <f t="shared" si="189"/>
        <v>0.13045538664488476</v>
      </c>
      <c r="AC29" s="49">
        <f t="shared" ref="AC29:AM29" si="190">AC19/AC15</f>
        <v>0.13045538664488476</v>
      </c>
      <c r="AD29" s="49">
        <f t="shared" si="190"/>
        <v>0.13045538664488476</v>
      </c>
      <c r="AE29" s="49">
        <f t="shared" si="190"/>
        <v>0.13045538664488476</v>
      </c>
      <c r="AF29" s="49">
        <f t="shared" si="190"/>
        <v>0.13045538664488476</v>
      </c>
      <c r="AG29" s="49">
        <f t="shared" si="190"/>
        <v>0.13045538664488476</v>
      </c>
      <c r="AH29" s="49">
        <f t="shared" si="190"/>
        <v>0.13045538664488476</v>
      </c>
      <c r="AI29" s="49">
        <f t="shared" si="190"/>
        <v>0.13045538664488476</v>
      </c>
      <c r="AJ29" s="49">
        <f t="shared" si="190"/>
        <v>0.13045538664488476</v>
      </c>
      <c r="AK29" s="49">
        <f t="shared" si="190"/>
        <v>0.13045538664488476</v>
      </c>
      <c r="AL29" s="49">
        <f t="shared" si="190"/>
        <v>0.13045538664488476</v>
      </c>
      <c r="AM29" s="49">
        <f t="shared" si="190"/>
        <v>0.13045538664488476</v>
      </c>
    </row>
    <row r="30" spans="1:40" s="29" customFormat="1" x14ac:dyDescent="0.25">
      <c r="A30" s="42"/>
      <c r="B30" s="65"/>
      <c r="C30" s="64"/>
      <c r="D30" s="64"/>
      <c r="E30" s="41"/>
      <c r="F30" s="41"/>
      <c r="G30" s="41"/>
      <c r="H30" s="41"/>
      <c r="I30" s="41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</row>
    <row r="31" spans="1:40" s="45" customFormat="1" x14ac:dyDescent="0.25">
      <c r="A31" s="66">
        <v>23</v>
      </c>
      <c r="B31" s="67" t="s">
        <v>44</v>
      </c>
      <c r="C31" s="68"/>
      <c r="D31" s="69">
        <v>8158</v>
      </c>
      <c r="E31" s="69">
        <v>7913</v>
      </c>
      <c r="F31" s="69">
        <v>7609</v>
      </c>
      <c r="G31" s="44">
        <f>F31-285</f>
        <v>7324</v>
      </c>
      <c r="H31" s="44">
        <f>G31-G31*2.66/100</f>
        <v>7129.1815999999999</v>
      </c>
      <c r="I31" s="44">
        <f t="shared" ref="I31:K31" si="191">H31-H31*2.66/100</f>
        <v>6939.5453694400003</v>
      </c>
      <c r="J31" s="44">
        <f t="shared" si="191"/>
        <v>6754.9534626128961</v>
      </c>
      <c r="K31" s="44">
        <f t="shared" si="191"/>
        <v>6575.2717005073928</v>
      </c>
      <c r="L31" s="44">
        <f>K31-K31*L41/100</f>
        <v>6438.8479632652652</v>
      </c>
      <c r="M31" s="44">
        <f>L31-L31*M41/100</f>
        <v>6332.6584826550943</v>
      </c>
      <c r="N31" s="44">
        <f>M31-M31*N41/100</f>
        <v>6231.589253271919</v>
      </c>
      <c r="O31" s="44">
        <f>N31+N31*0.5/100</f>
        <v>6262.7471995382784</v>
      </c>
      <c r="P31" s="44">
        <f t="shared" ref="P31:AB31" si="192">O31+O31*0.5/100</f>
        <v>6294.0609355359702</v>
      </c>
      <c r="Q31" s="44">
        <f t="shared" si="192"/>
        <v>6325.5312402136497</v>
      </c>
      <c r="R31" s="44">
        <f t="shared" si="192"/>
        <v>6357.1588964147177</v>
      </c>
      <c r="S31" s="44">
        <f t="shared" si="192"/>
        <v>6388.9446908967911</v>
      </c>
      <c r="T31" s="44">
        <f t="shared" si="192"/>
        <v>6420.8894143512753</v>
      </c>
      <c r="U31" s="44">
        <f t="shared" si="192"/>
        <v>6452.9938614230314</v>
      </c>
      <c r="V31" s="44">
        <f t="shared" si="192"/>
        <v>6485.2588307301467</v>
      </c>
      <c r="W31" s="44">
        <f t="shared" si="192"/>
        <v>6517.6851248837975</v>
      </c>
      <c r="X31" s="44">
        <f t="shared" si="192"/>
        <v>6550.2735505082164</v>
      </c>
      <c r="Y31" s="44">
        <f t="shared" si="192"/>
        <v>6583.0249182607577</v>
      </c>
      <c r="Z31" s="44">
        <f t="shared" si="192"/>
        <v>6615.9400428520612</v>
      </c>
      <c r="AA31" s="44">
        <f t="shared" si="192"/>
        <v>6649.0197430663211</v>
      </c>
      <c r="AB31" s="44">
        <f t="shared" si="192"/>
        <v>6682.2648417816526</v>
      </c>
      <c r="AC31" s="44">
        <f t="shared" ref="AC31" si="193">AB31+AB31*0.5/100</f>
        <v>6715.6761659905605</v>
      </c>
      <c r="AD31" s="44">
        <f t="shared" ref="AD31" si="194">AC31+AC31*0.5/100</f>
        <v>6749.2545468205135</v>
      </c>
      <c r="AE31" s="44">
        <f t="shared" ref="AE31" si="195">AD31+AD31*0.5/100</f>
        <v>6783.0008195546161</v>
      </c>
      <c r="AF31" s="44">
        <f t="shared" ref="AF31" si="196">AE31+AE31*0.5/100</f>
        <v>6816.915823652389</v>
      </c>
      <c r="AG31" s="44">
        <f t="shared" ref="AG31" si="197">AF31+AF31*0.5/100</f>
        <v>6851.0004027706509</v>
      </c>
      <c r="AH31" s="44">
        <f t="shared" ref="AH31" si="198">AG31+AG31*0.5/100</f>
        <v>6885.2554047845042</v>
      </c>
      <c r="AI31" s="44">
        <f t="shared" ref="AI31" si="199">AH31+AH31*0.5/100</f>
        <v>6919.6816818084271</v>
      </c>
      <c r="AJ31" s="44">
        <f t="shared" ref="AJ31" si="200">AI31+AI31*0.5/100</f>
        <v>6954.2800902174695</v>
      </c>
      <c r="AK31" s="44">
        <f t="shared" ref="AK31" si="201">AJ31+AJ31*0.5/100</f>
        <v>6989.0514906685567</v>
      </c>
      <c r="AL31" s="44">
        <f t="shared" ref="AL31" si="202">AK31+AK31*0.5/100</f>
        <v>7023.9967481218991</v>
      </c>
      <c r="AM31" s="44">
        <f t="shared" ref="AM31" si="203">AL31+AL31*0.5/100</f>
        <v>7059.1167318625085</v>
      </c>
    </row>
    <row r="32" spans="1:40" s="45" customFormat="1" x14ac:dyDescent="0.25">
      <c r="A32" s="66">
        <v>24</v>
      </c>
      <c r="B32" s="67" t="s">
        <v>45</v>
      </c>
      <c r="C32" s="68"/>
      <c r="D32" s="69">
        <v>8698</v>
      </c>
      <c r="E32" s="69">
        <v>8501</v>
      </c>
      <c r="F32" s="69">
        <v>8256</v>
      </c>
      <c r="G32" s="44">
        <f>F32-200</f>
        <v>8056</v>
      </c>
      <c r="H32" s="44">
        <f>G32-G32*1.59/100</f>
        <v>7927.9096</v>
      </c>
      <c r="I32" s="44">
        <f t="shared" ref="I32:K32" si="204">H32-H32*1.59/100</f>
        <v>7801.8558373599999</v>
      </c>
      <c r="J32" s="44">
        <f t="shared" si="204"/>
        <v>7677.806329545976</v>
      </c>
      <c r="K32" s="44">
        <f t="shared" si="204"/>
        <v>7555.7292089061948</v>
      </c>
      <c r="L32" s="44">
        <f>K32-K32*L44/100</f>
        <v>7462.0230552573403</v>
      </c>
      <c r="M32" s="44">
        <f>L32-L32*M44/100</f>
        <v>7387.4028247047672</v>
      </c>
      <c r="N32" s="44">
        <f>M32-M32*N44/100</f>
        <v>7313.5287964577192</v>
      </c>
      <c r="O32" s="44">
        <f t="shared" ref="O32" si="205">N32-N32*1/100</f>
        <v>7240.3935084931418</v>
      </c>
      <c r="P32" s="44">
        <f t="shared" ref="P32" si="206">O32-O32*1/100</f>
        <v>7167.9895734082102</v>
      </c>
      <c r="Q32" s="44">
        <f t="shared" ref="Q32" si="207">P32-P32*1/100</f>
        <v>7096.3096776741277</v>
      </c>
      <c r="R32" s="44">
        <f t="shared" ref="R32" si="208">Q32-Q32*1/100</f>
        <v>7025.346580897386</v>
      </c>
      <c r="S32" s="44">
        <f t="shared" ref="S32" si="209">R32-R32*1/100</f>
        <v>6955.0931150884126</v>
      </c>
      <c r="T32" s="44">
        <f t="shared" ref="T32" si="210">S32-S32*1/100</f>
        <v>6885.5421839375285</v>
      </c>
      <c r="U32" s="44">
        <f t="shared" ref="U32" si="211">T32-T32*1/100</f>
        <v>6816.6867620981529</v>
      </c>
      <c r="V32" s="44">
        <f t="shared" ref="V32" si="212">U32-U32*1/100</f>
        <v>6748.519894477171</v>
      </c>
      <c r="W32" s="44">
        <f t="shared" ref="W32" si="213">V32-V32*1/100</f>
        <v>6681.0346955323994</v>
      </c>
      <c r="X32" s="44">
        <f t="shared" ref="X32" si="214">W32-W32*1/100</f>
        <v>6614.224348577075</v>
      </c>
      <c r="Y32" s="44">
        <f t="shared" ref="Y32" si="215">X32-X32*1/100</f>
        <v>6548.0821050913046</v>
      </c>
      <c r="Z32" s="44">
        <f t="shared" ref="Z32" si="216">Y32-Y32*1/100</f>
        <v>6482.6012840403919</v>
      </c>
      <c r="AA32" s="44">
        <f t="shared" ref="AA32" si="217">Z32-Z32*1/100</f>
        <v>6417.7752711999883</v>
      </c>
      <c r="AB32" s="44">
        <f t="shared" ref="AB32" si="218">AA32-AA32*1/100</f>
        <v>6353.5975184879881</v>
      </c>
      <c r="AC32" s="44">
        <f t="shared" ref="AC32" si="219">AB32-AB32*1/100</f>
        <v>6290.061543303108</v>
      </c>
      <c r="AD32" s="44">
        <f t="shared" ref="AD32" si="220">AC32-AC32*1/100</f>
        <v>6227.1609278700771</v>
      </c>
      <c r="AE32" s="44">
        <f t="shared" ref="AE32" si="221">AD32-AD32*1/100</f>
        <v>6164.8893185913767</v>
      </c>
      <c r="AF32" s="44">
        <f t="shared" ref="AF32" si="222">AE32-AE32*1/100</f>
        <v>6103.2404254054627</v>
      </c>
      <c r="AG32" s="44">
        <f t="shared" ref="AG32" si="223">AF32-AF32*1/100</f>
        <v>6042.2080211514085</v>
      </c>
      <c r="AH32" s="44">
        <f t="shared" ref="AH32" si="224">AG32-AG32*1/100</f>
        <v>5981.7859409398943</v>
      </c>
      <c r="AI32" s="44">
        <f t="shared" ref="AI32" si="225">AH32-AH32*1/100</f>
        <v>5921.9680815304955</v>
      </c>
      <c r="AJ32" s="44">
        <f t="shared" ref="AJ32" si="226">AI32-AI32*1/100</f>
        <v>5862.7484007151907</v>
      </c>
      <c r="AK32" s="44">
        <f t="shared" ref="AK32" si="227">AJ32-AJ32*1/100</f>
        <v>5804.1209167080387</v>
      </c>
      <c r="AL32" s="44">
        <f t="shared" ref="AL32" si="228">AK32-AK32*1/100</f>
        <v>5746.0797075409582</v>
      </c>
      <c r="AM32" s="44">
        <f t="shared" ref="AM32" si="229">AL32-AL32*1/100</f>
        <v>5688.6189104655487</v>
      </c>
    </row>
    <row r="33" spans="1:39" s="45" customFormat="1" x14ac:dyDescent="0.25">
      <c r="A33" s="66">
        <v>25</v>
      </c>
      <c r="B33" s="67" t="s">
        <v>69</v>
      </c>
      <c r="C33" s="68"/>
      <c r="D33" s="69">
        <f>D31+D32</f>
        <v>16856</v>
      </c>
      <c r="E33" s="69">
        <f t="shared" ref="E33:AB33" si="230">E31+E32</f>
        <v>16414</v>
      </c>
      <c r="F33" s="69">
        <f t="shared" si="230"/>
        <v>15865</v>
      </c>
      <c r="G33" s="69">
        <f t="shared" si="230"/>
        <v>15380</v>
      </c>
      <c r="H33" s="69">
        <f t="shared" si="230"/>
        <v>15057.091199999999</v>
      </c>
      <c r="I33" s="69">
        <f t="shared" si="230"/>
        <v>14741.401206800001</v>
      </c>
      <c r="J33" s="69">
        <f t="shared" si="230"/>
        <v>14432.759792158871</v>
      </c>
      <c r="K33" s="69">
        <f t="shared" si="230"/>
        <v>14131.000909413588</v>
      </c>
      <c r="L33" s="69">
        <f t="shared" si="230"/>
        <v>13900.871018522605</v>
      </c>
      <c r="M33" s="69">
        <f t="shared" si="230"/>
        <v>13720.061307359862</v>
      </c>
      <c r="N33" s="69">
        <f t="shared" si="230"/>
        <v>13545.118049729637</v>
      </c>
      <c r="O33" s="69">
        <f t="shared" si="230"/>
        <v>13503.14070803142</v>
      </c>
      <c r="P33" s="69">
        <f t="shared" si="230"/>
        <v>13462.050508944179</v>
      </c>
      <c r="Q33" s="69">
        <f t="shared" si="230"/>
        <v>13421.840917887777</v>
      </c>
      <c r="R33" s="69">
        <f t="shared" si="230"/>
        <v>13382.505477312105</v>
      </c>
      <c r="S33" s="69">
        <f t="shared" si="230"/>
        <v>13344.037805985205</v>
      </c>
      <c r="T33" s="69">
        <f t="shared" si="230"/>
        <v>13306.431598288804</v>
      </c>
      <c r="U33" s="69">
        <f t="shared" si="230"/>
        <v>13269.680623521184</v>
      </c>
      <c r="V33" s="69">
        <f t="shared" si="230"/>
        <v>13233.778725207318</v>
      </c>
      <c r="W33" s="69">
        <f t="shared" si="230"/>
        <v>13198.719820416198</v>
      </c>
      <c r="X33" s="69">
        <f t="shared" si="230"/>
        <v>13164.497899085291</v>
      </c>
      <c r="Y33" s="69">
        <f t="shared" si="230"/>
        <v>13131.107023352062</v>
      </c>
      <c r="Z33" s="69">
        <f t="shared" si="230"/>
        <v>13098.541326892453</v>
      </c>
      <c r="AA33" s="69">
        <f t="shared" si="230"/>
        <v>13066.79501426631</v>
      </c>
      <c r="AB33" s="69">
        <f t="shared" si="230"/>
        <v>13035.862360269641</v>
      </c>
      <c r="AC33" s="69">
        <f t="shared" ref="AC33:AM33" si="231">AC31+AC32</f>
        <v>13005.737709293669</v>
      </c>
      <c r="AD33" s="69">
        <f t="shared" si="231"/>
        <v>12976.415474690592</v>
      </c>
      <c r="AE33" s="69">
        <f t="shared" si="231"/>
        <v>12947.890138145993</v>
      </c>
      <c r="AF33" s="69">
        <f t="shared" si="231"/>
        <v>12920.156249057851</v>
      </c>
      <c r="AG33" s="69">
        <f t="shared" si="231"/>
        <v>12893.20842392206</v>
      </c>
      <c r="AH33" s="69">
        <f t="shared" si="231"/>
        <v>12867.041345724399</v>
      </c>
      <c r="AI33" s="69">
        <f t="shared" si="231"/>
        <v>12841.649763338923</v>
      </c>
      <c r="AJ33" s="69">
        <f t="shared" si="231"/>
        <v>12817.02849093266</v>
      </c>
      <c r="AK33" s="69">
        <f t="shared" si="231"/>
        <v>12793.172407376594</v>
      </c>
      <c r="AL33" s="69">
        <f t="shared" si="231"/>
        <v>12770.076455662856</v>
      </c>
      <c r="AM33" s="69">
        <f t="shared" si="231"/>
        <v>12747.735642328058</v>
      </c>
    </row>
    <row r="34" spans="1:39" s="29" customFormat="1" x14ac:dyDescent="0.25">
      <c r="A34" s="42">
        <v>26</v>
      </c>
      <c r="B34" s="65" t="s">
        <v>60</v>
      </c>
      <c r="C34" s="64"/>
      <c r="D34" s="64"/>
      <c r="E34" s="40">
        <f t="shared" ref="E34:J34" si="232">D33-E33</f>
        <v>442</v>
      </c>
      <c r="F34" s="40">
        <f t="shared" si="232"/>
        <v>549</v>
      </c>
      <c r="G34" s="40">
        <f t="shared" si="232"/>
        <v>485</v>
      </c>
      <c r="H34" s="40">
        <f t="shared" si="232"/>
        <v>322.90880000000107</v>
      </c>
      <c r="I34" s="40">
        <f t="shared" si="232"/>
        <v>315.68999319999784</v>
      </c>
      <c r="J34" s="40">
        <f t="shared" si="232"/>
        <v>308.64141464112981</v>
      </c>
      <c r="K34" s="40">
        <f t="shared" ref="K34:N34" si="233">J33-K33</f>
        <v>301.7588827452837</v>
      </c>
      <c r="L34" s="40">
        <f t="shared" si="233"/>
        <v>230.12989089098301</v>
      </c>
      <c r="M34" s="40">
        <f t="shared" si="233"/>
        <v>180.80971116274304</v>
      </c>
      <c r="N34" s="40">
        <f t="shared" si="233"/>
        <v>174.94325763022425</v>
      </c>
      <c r="O34" s="40">
        <f t="shared" ref="O34" si="234">N33-O33</f>
        <v>41.97734169821706</v>
      </c>
      <c r="P34" s="40">
        <f t="shared" ref="P34" si="235">O33-P33</f>
        <v>41.090199087240762</v>
      </c>
      <c r="Q34" s="40">
        <f t="shared" ref="Q34" si="236">P33-Q33</f>
        <v>40.209591056402132</v>
      </c>
      <c r="R34" s="40">
        <f t="shared" ref="R34" si="237">Q33-R33</f>
        <v>39.335440575672692</v>
      </c>
      <c r="S34" s="40">
        <f t="shared" ref="S34" si="238">R33-S33</f>
        <v>38.467671326900017</v>
      </c>
      <c r="T34" s="40">
        <f t="shared" ref="T34" si="239">S33-T33</f>
        <v>37.606207696400816</v>
      </c>
      <c r="U34" s="40">
        <f t="shared" ref="U34" si="240">T33-U33</f>
        <v>36.750974767619482</v>
      </c>
      <c r="V34" s="40">
        <f t="shared" ref="V34" si="241">U33-V33</f>
        <v>35.901898313866695</v>
      </c>
      <c r="W34" s="40">
        <f t="shared" ref="W34" si="242">V33-W33</f>
        <v>35.058904791119858</v>
      </c>
      <c r="X34" s="40">
        <f t="shared" ref="X34" si="243">W33-X33</f>
        <v>34.221921330907207</v>
      </c>
      <c r="Y34" s="40">
        <f t="shared" ref="Y34" si="244">X33-Y33</f>
        <v>33.390875733228313</v>
      </c>
      <c r="Z34" s="40">
        <f t="shared" ref="Z34" si="245">Y33-Z33</f>
        <v>32.565696459609171</v>
      </c>
      <c r="AA34" s="40">
        <f t="shared" ref="AA34" si="246">Z33-AA33</f>
        <v>31.746312626142753</v>
      </c>
      <c r="AB34" s="40">
        <f t="shared" ref="AB34" si="247">AA33-AB33</f>
        <v>30.932653996669615</v>
      </c>
      <c r="AC34" s="40">
        <f t="shared" ref="AC34" si="248">AB33-AC33</f>
        <v>30.124650975971235</v>
      </c>
      <c r="AD34" s="40">
        <f t="shared" ref="AD34" si="249">AC33-AD33</f>
        <v>29.322234603077959</v>
      </c>
      <c r="AE34" s="40">
        <f t="shared" ref="AE34" si="250">AD33-AE33</f>
        <v>28.525336544598758</v>
      </c>
      <c r="AF34" s="40">
        <f t="shared" ref="AF34" si="251">AE33-AF33</f>
        <v>27.73388908814195</v>
      </c>
      <c r="AG34" s="40">
        <f t="shared" ref="AG34" si="252">AF33-AG33</f>
        <v>26.947825135790481</v>
      </c>
      <c r="AH34" s="40">
        <f t="shared" ref="AH34" si="253">AG33-AH33</f>
        <v>26.167078197660885</v>
      </c>
      <c r="AI34" s="40">
        <f t="shared" ref="AI34" si="254">AH33-AI33</f>
        <v>25.391582385476795</v>
      </c>
      <c r="AJ34" s="40">
        <f t="shared" ref="AJ34" si="255">AI33-AJ33</f>
        <v>24.621272406262506</v>
      </c>
      <c r="AK34" s="40">
        <f t="shared" ref="AK34" si="256">AJ33-AK33</f>
        <v>23.856083556065641</v>
      </c>
      <c r="AL34" s="40">
        <f t="shared" ref="AL34" si="257">AK33-AL33</f>
        <v>23.095951713738032</v>
      </c>
      <c r="AM34" s="40">
        <f t="shared" ref="AM34" si="258">AL33-AM33</f>
        <v>22.34081333479844</v>
      </c>
    </row>
    <row r="35" spans="1:39" s="29" customFormat="1" x14ac:dyDescent="0.25">
      <c r="D35" s="70"/>
      <c r="E35" s="70"/>
      <c r="F35" s="70"/>
      <c r="G35" s="70"/>
      <c r="H35" s="70">
        <f>H34/G33</f>
        <v>2.0995370611183423E-2</v>
      </c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>
        <v>0</v>
      </c>
    </row>
    <row r="36" spans="1:39" s="29" customFormat="1" x14ac:dyDescent="0.25">
      <c r="B36" s="72"/>
      <c r="E36" s="50"/>
      <c r="F36" s="73"/>
      <c r="G36" s="71"/>
      <c r="H36" s="73">
        <v>195</v>
      </c>
      <c r="I36" s="73"/>
      <c r="M36" s="74">
        <v>80.38</v>
      </c>
      <c r="N36" s="74"/>
      <c r="O36" s="75"/>
      <c r="P36" s="75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>
        <v>11652</v>
      </c>
      <c r="AC36" s="71"/>
      <c r="AD36" s="71"/>
      <c r="AE36" s="71"/>
    </row>
    <row r="37" spans="1:39" s="29" customFormat="1" ht="30" x14ac:dyDescent="0.25">
      <c r="B37" s="76" t="s">
        <v>73</v>
      </c>
      <c r="E37" s="77"/>
      <c r="F37" s="70"/>
      <c r="G37" s="70"/>
      <c r="H37" s="70">
        <f>H36/G31</f>
        <v>2.6624795193883125E-2</v>
      </c>
      <c r="I37" s="77"/>
      <c r="L37" s="78">
        <v>0.22</v>
      </c>
      <c r="M37" s="78">
        <v>0.38</v>
      </c>
      <c r="N37" s="78">
        <v>0.4</v>
      </c>
      <c r="AB37" s="79">
        <f>AB33-AB36</f>
        <v>1383.8623602696407</v>
      </c>
    </row>
    <row r="38" spans="1:39" s="29" customFormat="1" ht="30" x14ac:dyDescent="0.25">
      <c r="B38" s="76" t="s">
        <v>74</v>
      </c>
      <c r="C38" s="77"/>
      <c r="D38" s="77"/>
      <c r="F38" s="71"/>
      <c r="G38" s="71"/>
      <c r="H38" s="77">
        <v>128</v>
      </c>
      <c r="I38" s="77"/>
      <c r="L38" s="50">
        <f>L37*$M$36</f>
        <v>17.683599999999998</v>
      </c>
      <c r="M38" s="50">
        <f>M37*$M$36</f>
        <v>30.5444</v>
      </c>
      <c r="N38" s="50">
        <f>N37*$M$36</f>
        <v>32.152000000000001</v>
      </c>
    </row>
    <row r="39" spans="1:39" s="29" customFormat="1" x14ac:dyDescent="0.25">
      <c r="F39" s="70"/>
      <c r="G39" s="70"/>
      <c r="H39" s="70">
        <f>H38/G32</f>
        <v>1.5888778550148957E-2</v>
      </c>
      <c r="I39" s="77"/>
    </row>
    <row r="40" spans="1:39" s="29" customFormat="1" x14ac:dyDescent="0.25">
      <c r="E40" s="71"/>
      <c r="F40" s="71"/>
      <c r="G40" s="80"/>
      <c r="H40" s="71"/>
      <c r="I40" s="71"/>
      <c r="K40" s="50"/>
      <c r="L40" s="77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</row>
    <row r="41" spans="1:39" s="29" customFormat="1" x14ac:dyDescent="0.25">
      <c r="E41" s="77"/>
      <c r="F41" s="77"/>
      <c r="G41" s="77"/>
      <c r="H41" s="77"/>
      <c r="I41" s="77"/>
      <c r="J41" s="71"/>
      <c r="K41" s="50">
        <v>2.66</v>
      </c>
      <c r="L41" s="50">
        <f>K41*0.78</f>
        <v>2.0748000000000002</v>
      </c>
      <c r="M41" s="50">
        <f>K41*0.62</f>
        <v>1.6492</v>
      </c>
      <c r="N41" s="50">
        <f>K41*0.6</f>
        <v>1.5960000000000001</v>
      </c>
    </row>
    <row r="42" spans="1:39" s="29" customFormat="1" x14ac:dyDescent="0.25">
      <c r="E42" s="70"/>
      <c r="F42" s="70"/>
      <c r="G42" s="70"/>
      <c r="H42" s="70"/>
      <c r="I42" s="70"/>
      <c r="J42" s="77"/>
    </row>
    <row r="43" spans="1:39" s="29" customFormat="1" x14ac:dyDescent="0.25">
      <c r="E43" s="71"/>
      <c r="F43" s="71"/>
      <c r="G43" s="50"/>
      <c r="H43" s="71"/>
      <c r="I43" s="71"/>
      <c r="J43" s="71"/>
    </row>
    <row r="44" spans="1:39" s="29" customFormat="1" x14ac:dyDescent="0.25">
      <c r="G44" s="71"/>
      <c r="H44" s="71"/>
      <c r="K44" s="29">
        <v>1.59</v>
      </c>
      <c r="L44" s="50">
        <f>K44*0.78</f>
        <v>1.2402000000000002</v>
      </c>
      <c r="M44" s="50">
        <v>1</v>
      </c>
      <c r="N44" s="50">
        <v>1</v>
      </c>
    </row>
    <row r="45" spans="1:39" s="29" customFormat="1" x14ac:dyDescent="0.25">
      <c r="G45" s="77"/>
      <c r="H45" s="77"/>
    </row>
    <row r="46" spans="1:39" s="29" customFormat="1" x14ac:dyDescent="0.25">
      <c r="E46" s="50"/>
      <c r="F46" s="77"/>
      <c r="G46" s="50"/>
    </row>
    <row r="47" spans="1:39" s="29" customFormat="1" x14ac:dyDescent="0.25">
      <c r="C47" s="77"/>
      <c r="D47" s="77"/>
      <c r="E47" s="50"/>
      <c r="F47" s="77"/>
      <c r="G47" s="50"/>
    </row>
    <row r="48" spans="1:39" s="29" customFormat="1" x14ac:dyDescent="0.25">
      <c r="C48" s="77"/>
      <c r="D48" s="77"/>
      <c r="E48" s="50"/>
      <c r="F48" s="77"/>
      <c r="G48" s="50"/>
    </row>
    <row r="49" spans="3:7" s="29" customFormat="1" x14ac:dyDescent="0.25">
      <c r="C49" s="77"/>
      <c r="D49" s="77"/>
      <c r="E49" s="50"/>
      <c r="F49" s="77"/>
      <c r="G49" s="50"/>
    </row>
    <row r="50" spans="3:7" s="29" customFormat="1" x14ac:dyDescent="0.25">
      <c r="C50" s="77"/>
      <c r="D50" s="77"/>
      <c r="E50" s="81"/>
      <c r="F50" s="77"/>
      <c r="G50" s="50"/>
    </row>
    <row r="51" spans="3:7" s="29" customFormat="1" x14ac:dyDescent="0.25">
      <c r="C51" s="77"/>
      <c r="D51" s="77"/>
      <c r="E51" s="82"/>
      <c r="F51" s="77"/>
      <c r="G51" s="50"/>
    </row>
    <row r="52" spans="3:7" s="29" customFormat="1" x14ac:dyDescent="0.25">
      <c r="C52" s="77"/>
      <c r="D52" s="77"/>
      <c r="E52" s="82"/>
      <c r="F52" s="77"/>
      <c r="G52" s="50"/>
    </row>
    <row r="53" spans="3:7" s="29" customFormat="1" x14ac:dyDescent="0.25">
      <c r="C53" s="77"/>
      <c r="D53" s="77"/>
      <c r="F53" s="77"/>
      <c r="G53" s="50"/>
    </row>
    <row r="54" spans="3:7" s="29" customFormat="1" x14ac:dyDescent="0.25">
      <c r="C54" s="77"/>
      <c r="D54" s="77"/>
      <c r="F54" s="77"/>
      <c r="G54" s="50"/>
    </row>
    <row r="55" spans="3:7" x14ac:dyDescent="0.25">
      <c r="C55" s="2"/>
      <c r="D55" s="2"/>
      <c r="F55" s="18"/>
      <c r="G55" s="19"/>
    </row>
    <row r="56" spans="3:7" x14ac:dyDescent="0.25">
      <c r="C56" s="2"/>
      <c r="D56" s="2"/>
      <c r="F56" s="18"/>
      <c r="G56" s="19"/>
    </row>
    <row r="57" spans="3:7" x14ac:dyDescent="0.25">
      <c r="C57" s="2"/>
      <c r="D57" s="2"/>
      <c r="F57" s="18"/>
      <c r="G57" s="19"/>
    </row>
    <row r="58" spans="3:7" x14ac:dyDescent="0.25">
      <c r="C58" s="2"/>
      <c r="D58" s="2"/>
      <c r="F58" s="18"/>
      <c r="G58" s="19"/>
    </row>
    <row r="59" spans="3:7" x14ac:dyDescent="0.25">
      <c r="C59" s="2"/>
      <c r="D59" s="2"/>
      <c r="F59" s="18"/>
      <c r="G59" s="19"/>
    </row>
    <row r="60" spans="3:7" x14ac:dyDescent="0.25">
      <c r="C60" s="2"/>
      <c r="D60" s="2"/>
      <c r="F60" s="18"/>
      <c r="G60" s="19"/>
    </row>
    <row r="61" spans="3:7" x14ac:dyDescent="0.25">
      <c r="C61" s="2"/>
      <c r="D61" s="2"/>
      <c r="F61" s="18"/>
      <c r="G61" s="19"/>
    </row>
    <row r="62" spans="3:7" x14ac:dyDescent="0.25">
      <c r="C62" s="2"/>
      <c r="D62" s="2"/>
      <c r="F62" s="18"/>
      <c r="G62" s="19"/>
    </row>
    <row r="63" spans="3:7" x14ac:dyDescent="0.25">
      <c r="C63" s="2"/>
      <c r="D63" s="2"/>
      <c r="F63" s="18"/>
      <c r="G63" s="19"/>
    </row>
    <row r="64" spans="3:7" x14ac:dyDescent="0.25">
      <c r="C64" s="2"/>
      <c r="D64" s="2"/>
      <c r="F64" s="18"/>
      <c r="G64" s="19"/>
    </row>
    <row r="65" spans="3:7" x14ac:dyDescent="0.25">
      <c r="C65" s="2"/>
      <c r="D65" s="2"/>
      <c r="F65" s="18"/>
      <c r="G65" s="19"/>
    </row>
    <row r="66" spans="3:7" x14ac:dyDescent="0.25">
      <c r="C66" s="2"/>
      <c r="D66" s="2"/>
      <c r="F66" s="18"/>
      <c r="G66" s="19"/>
    </row>
    <row r="67" spans="3:7" x14ac:dyDescent="0.25">
      <c r="C67" s="2"/>
      <c r="D67" s="2"/>
      <c r="F67" s="18"/>
      <c r="G67" s="19"/>
    </row>
    <row r="68" spans="3:7" x14ac:dyDescent="0.25">
      <c r="C68" s="2"/>
      <c r="D68" s="2"/>
      <c r="F68" s="18"/>
      <c r="G68" s="19"/>
    </row>
  </sheetData>
  <phoneticPr fontId="4" type="noConversion"/>
  <pageMargins left="0.45" right="0.2" top="0.5" bottom="0.75" header="0.3" footer="0.3"/>
  <pageSetup paperSize="8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120"/>
  <sheetViews>
    <sheetView topLeftCell="S1" zoomScale="85" zoomScaleNormal="85" workbookViewId="0">
      <selection activeCell="AC5" sqref="AC5"/>
    </sheetView>
  </sheetViews>
  <sheetFormatPr defaultRowHeight="15" x14ac:dyDescent="0.25"/>
  <cols>
    <col min="1" max="1" width="9.140625" style="4"/>
    <col min="2" max="2" width="51.28515625" style="4" customWidth="1"/>
    <col min="3" max="3" width="11.42578125" style="5" customWidth="1"/>
    <col min="4" max="4" width="12.5703125" style="5" hidden="1" customWidth="1"/>
    <col min="5" max="5" width="14.28515625" style="5" hidden="1" customWidth="1"/>
    <col min="6" max="6" width="11" style="5" hidden="1" customWidth="1"/>
    <col min="7" max="7" width="11.7109375" style="5" customWidth="1"/>
    <col min="8" max="8" width="9.5703125" style="5" bestFit="1" customWidth="1"/>
    <col min="9" max="9" width="9.7109375" style="5" customWidth="1"/>
    <col min="10" max="10" width="10.28515625" style="5" customWidth="1"/>
    <col min="11" max="11" width="10.42578125" style="5" customWidth="1"/>
    <col min="12" max="12" width="10.5703125" style="5" customWidth="1"/>
    <col min="13" max="13" width="10" style="21" customWidth="1"/>
    <col min="14" max="14" width="10.42578125" style="5" customWidth="1"/>
    <col min="15" max="15" width="10.28515625" style="5" customWidth="1"/>
    <col min="16" max="17" width="9.7109375" style="5" customWidth="1"/>
    <col min="18" max="18" width="10.28515625" style="5" customWidth="1"/>
    <col min="19" max="20" width="10" style="5" customWidth="1"/>
    <col min="21" max="27" width="9.7109375" style="5" customWidth="1"/>
    <col min="28" max="16384" width="9.140625" style="4"/>
  </cols>
  <sheetData>
    <row r="1" spans="1:38" s="83" customFormat="1" ht="28.5" x14ac:dyDescent="0.25">
      <c r="C1" s="84"/>
      <c r="D1" s="84"/>
      <c r="E1" s="84"/>
      <c r="F1" s="84"/>
      <c r="G1" s="85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</row>
    <row r="2" spans="1:38" s="83" customFormat="1" x14ac:dyDescent="0.25">
      <c r="B2" s="86" t="s">
        <v>89</v>
      </c>
      <c r="C2" s="87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</row>
    <row r="3" spans="1:38" s="83" customFormat="1" x14ac:dyDescent="0.25"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</row>
    <row r="4" spans="1:38" s="91" customFormat="1" x14ac:dyDescent="0.25">
      <c r="A4" s="88"/>
      <c r="B4" s="89" t="s">
        <v>13</v>
      </c>
      <c r="C4" s="89"/>
      <c r="D4" s="90">
        <v>2019</v>
      </c>
      <c r="E4" s="90">
        <v>2020</v>
      </c>
      <c r="F4" s="90">
        <v>2021</v>
      </c>
      <c r="G4" s="90">
        <v>2022</v>
      </c>
      <c r="H4" s="90">
        <f>G4+1</f>
        <v>2023</v>
      </c>
      <c r="I4" s="90">
        <f t="shared" ref="I4:AK4" si="0">H4+1</f>
        <v>2024</v>
      </c>
      <c r="J4" s="90">
        <f t="shared" si="0"/>
        <v>2025</v>
      </c>
      <c r="K4" s="90">
        <f t="shared" si="0"/>
        <v>2026</v>
      </c>
      <c r="L4" s="90">
        <f t="shared" si="0"/>
        <v>2027</v>
      </c>
      <c r="M4" s="90">
        <f t="shared" si="0"/>
        <v>2028</v>
      </c>
      <c r="N4" s="90">
        <f t="shared" si="0"/>
        <v>2029</v>
      </c>
      <c r="O4" s="90">
        <f t="shared" si="0"/>
        <v>2030</v>
      </c>
      <c r="P4" s="90">
        <f t="shared" si="0"/>
        <v>2031</v>
      </c>
      <c r="Q4" s="90">
        <f t="shared" si="0"/>
        <v>2032</v>
      </c>
      <c r="R4" s="90">
        <f t="shared" si="0"/>
        <v>2033</v>
      </c>
      <c r="S4" s="90">
        <f t="shared" si="0"/>
        <v>2034</v>
      </c>
      <c r="T4" s="90">
        <f t="shared" si="0"/>
        <v>2035</v>
      </c>
      <c r="U4" s="90">
        <f t="shared" si="0"/>
        <v>2036</v>
      </c>
      <c r="V4" s="90">
        <f t="shared" si="0"/>
        <v>2037</v>
      </c>
      <c r="W4" s="90">
        <f t="shared" si="0"/>
        <v>2038</v>
      </c>
      <c r="X4" s="90">
        <f t="shared" si="0"/>
        <v>2039</v>
      </c>
      <c r="Y4" s="90">
        <f t="shared" si="0"/>
        <v>2040</v>
      </c>
      <c r="Z4" s="90">
        <f t="shared" si="0"/>
        <v>2041</v>
      </c>
      <c r="AA4" s="90">
        <f t="shared" si="0"/>
        <v>2042</v>
      </c>
      <c r="AB4" s="90">
        <f t="shared" si="0"/>
        <v>2043</v>
      </c>
      <c r="AC4" s="90">
        <f t="shared" si="0"/>
        <v>2044</v>
      </c>
      <c r="AD4" s="90">
        <f t="shared" si="0"/>
        <v>2045</v>
      </c>
      <c r="AE4" s="90">
        <f t="shared" si="0"/>
        <v>2046</v>
      </c>
      <c r="AF4" s="90">
        <f t="shared" si="0"/>
        <v>2047</v>
      </c>
      <c r="AG4" s="90">
        <f t="shared" si="0"/>
        <v>2048</v>
      </c>
      <c r="AH4" s="90">
        <f t="shared" si="0"/>
        <v>2049</v>
      </c>
      <c r="AI4" s="90">
        <f t="shared" si="0"/>
        <v>2050</v>
      </c>
      <c r="AJ4" s="90">
        <f t="shared" si="0"/>
        <v>2051</v>
      </c>
      <c r="AK4" s="90">
        <f t="shared" si="0"/>
        <v>2052</v>
      </c>
      <c r="AL4" s="90">
        <f>AK4+1</f>
        <v>2053</v>
      </c>
    </row>
    <row r="5" spans="1:38" s="95" customFormat="1" x14ac:dyDescent="0.25">
      <c r="A5" s="92"/>
      <c r="B5" s="93" t="s">
        <v>14</v>
      </c>
      <c r="C5" s="66" t="s">
        <v>15</v>
      </c>
      <c r="D5" s="94">
        <f>'Anexa 3'!E22</f>
        <v>680.08704479999994</v>
      </c>
      <c r="E5" s="94">
        <f>'Anexa 3'!F22</f>
        <v>644.41969559999995</v>
      </c>
      <c r="F5" s="94">
        <f>'Anexa 3'!G22</f>
        <v>700.25486039999987</v>
      </c>
      <c r="G5" s="94">
        <f>'Anexa 3'!H22</f>
        <v>627.36685919999991</v>
      </c>
      <c r="H5" s="94">
        <f>'Anexa 3'!I22</f>
        <v>617.92530080233951</v>
      </c>
      <c r="I5" s="94">
        <f>'Anexa 3'!J22</f>
        <v>608.75237755496948</v>
      </c>
      <c r="J5" s="94">
        <f>'Anexa 3'!K22</f>
        <v>599.84001577078038</v>
      </c>
      <c r="K5" s="94">
        <f>'Anexa 3'!L22</f>
        <v>574.61930205678937</v>
      </c>
      <c r="L5" s="94">
        <f>'Anexa 3'!M22</f>
        <v>537.49627779472803</v>
      </c>
      <c r="M5" s="94">
        <f>'Anexa 3'!N22</f>
        <v>498.96205905593337</v>
      </c>
      <c r="N5" s="94">
        <f>'Anexa 3'!O22</f>
        <v>494.91316015699601</v>
      </c>
      <c r="O5" s="94">
        <f>'Anexa 3'!P22</f>
        <v>490.93230708460129</v>
      </c>
      <c r="P5" s="94">
        <f>'Anexa 3'!Q22</f>
        <v>487.0182796084764</v>
      </c>
      <c r="Q5" s="94">
        <f>'Anexa 3'!R22</f>
        <v>483.16987971217134</v>
      </c>
      <c r="R5" s="94">
        <f>'Anexa 3'!S22</f>
        <v>480.62330052941951</v>
      </c>
      <c r="S5" s="94">
        <f>'Anexa 3'!T22</f>
        <v>478.11836395513114</v>
      </c>
      <c r="T5" s="94">
        <f>'Anexa 3'!U22</f>
        <v>475.65431515247468</v>
      </c>
      <c r="U5" s="94">
        <f>'Anexa 3'!V22</f>
        <v>473.23041328709041</v>
      </c>
      <c r="V5" s="94">
        <f>'Anexa 3'!W22</f>
        <v>470.84593126609116</v>
      </c>
      <c r="W5" s="94">
        <f>'Anexa 3'!X22</f>
        <v>468.5001554819313</v>
      </c>
      <c r="X5" s="94">
        <f>'Anexa 3'!Y22</f>
        <v>466.19238556105631</v>
      </c>
      <c r="Y5" s="94">
        <f>'Anexa 3'!Z22</f>
        <v>463.92193411724008</v>
      </c>
      <c r="Z5" s="94">
        <f>'Anexa 3'!AA22</f>
        <v>461.68812650952589</v>
      </c>
      <c r="AA5" s="94">
        <f>'Anexa 3'!AB22</f>
        <v>459.4903006046826</v>
      </c>
      <c r="AB5" s="94">
        <f>'Anexa 3'!AC22</f>
        <v>457.32780654409339</v>
      </c>
      <c r="AC5" s="94">
        <f>'Anexa 3'!AD22</f>
        <v>456.89109026161947</v>
      </c>
      <c r="AD5" s="94">
        <f>'Anexa 3'!AE22</f>
        <v>456.46624273206703</v>
      </c>
      <c r="AE5" s="94">
        <f>'Anexa 3'!AF22</f>
        <v>456.05318277585729</v>
      </c>
      <c r="AF5" s="94">
        <f>'Anexa 3'!AG22</f>
        <v>455.6518302127472</v>
      </c>
      <c r="AG5" s="94">
        <f>'Anexa 3'!AH22</f>
        <v>455.26210585277335</v>
      </c>
      <c r="AH5" s="94">
        <f>'Anexa 3'!AI22</f>
        <v>454.88393148729187</v>
      </c>
      <c r="AI5" s="94">
        <f>'Anexa 3'!AJ22</f>
        <v>454.51722988011244</v>
      </c>
      <c r="AJ5" s="94">
        <f>'Anexa 3'!AK22</f>
        <v>454.16192475872515</v>
      </c>
      <c r="AK5" s="94">
        <f>'Anexa 3'!AL22</f>
        <v>453.81794080562076</v>
      </c>
      <c r="AL5" s="94">
        <f>'Anexa 3'!AM22</f>
        <v>453.4852036497017</v>
      </c>
    </row>
    <row r="6" spans="1:38" s="95" customFormat="1" x14ac:dyDescent="0.25">
      <c r="A6" s="92"/>
      <c r="B6" s="93" t="s">
        <v>57</v>
      </c>
      <c r="C6" s="66" t="s">
        <v>15</v>
      </c>
      <c r="D6" s="94">
        <f>'Anexa 3'!E20</f>
        <v>404.62909919999998</v>
      </c>
      <c r="E6" s="94">
        <f>'Anexa 3'!F20</f>
        <v>365.06802599999997</v>
      </c>
      <c r="F6" s="94">
        <f>'Anexa 3'!G20</f>
        <v>390.87546119999996</v>
      </c>
      <c r="G6" s="94">
        <f>'Anexa 3'!H20</f>
        <v>354.06930239999997</v>
      </c>
      <c r="H6" s="94">
        <f>'Anexa 3'!I20</f>
        <v>344.62774400233957</v>
      </c>
      <c r="I6" s="94">
        <f>'Anexa 3'!J20</f>
        <v>335.45482075496955</v>
      </c>
      <c r="J6" s="94">
        <f>'Anexa 3'!K20</f>
        <v>326.54245897078039</v>
      </c>
      <c r="K6" s="94">
        <f>'Anexa 3'!L20</f>
        <v>319.0053452567895</v>
      </c>
      <c r="L6" s="94">
        <f>'Anexa 3'!M20</f>
        <v>312.42672099472804</v>
      </c>
      <c r="M6" s="94">
        <f>'Anexa 3'!N20</f>
        <v>306.04450225593342</v>
      </c>
      <c r="N6" s="94">
        <f>'Anexa 3'!O20</f>
        <v>301.99560335699607</v>
      </c>
      <c r="O6" s="94">
        <f>'Anexa 3'!P20</f>
        <v>298.01475028460135</v>
      </c>
      <c r="P6" s="94">
        <f>'Anexa 3'!Q20</f>
        <v>294.10072280847646</v>
      </c>
      <c r="Q6" s="94">
        <f>'Anexa 3'!R20</f>
        <v>290.25232291217139</v>
      </c>
      <c r="R6" s="94">
        <f>'Anexa 3'!S20</f>
        <v>287.70574372941957</v>
      </c>
      <c r="S6" s="94">
        <f>'Anexa 3'!T20</f>
        <v>285.2008071551312</v>
      </c>
      <c r="T6" s="94">
        <f>'Anexa 3'!U20</f>
        <v>282.73675835247474</v>
      </c>
      <c r="U6" s="94">
        <f>'Anexa 3'!V20</f>
        <v>280.31285648709047</v>
      </c>
      <c r="V6" s="94">
        <f>'Anexa 3'!W20</f>
        <v>277.92837446609121</v>
      </c>
      <c r="W6" s="94">
        <f>'Anexa 3'!X20</f>
        <v>275.58259868193136</v>
      </c>
      <c r="X6" s="94">
        <f>'Anexa 3'!Y20</f>
        <v>273.27482876105637</v>
      </c>
      <c r="Y6" s="94">
        <f>'Anexa 3'!Z20</f>
        <v>271.00437731724014</v>
      </c>
      <c r="Z6" s="94">
        <f>'Anexa 3'!AA20</f>
        <v>268.77056970952594</v>
      </c>
      <c r="AA6" s="94">
        <f>'Anexa 3'!AB20</f>
        <v>266.57274380468266</v>
      </c>
      <c r="AB6" s="94">
        <f>'Anexa 3'!AC20</f>
        <v>264.41024974409345</v>
      </c>
      <c r="AC6" s="94">
        <f>'Anexa 3'!AD20</f>
        <v>263.97353346161952</v>
      </c>
      <c r="AD6" s="94">
        <f>'Anexa 3'!AE20</f>
        <v>263.54868593206709</v>
      </c>
      <c r="AE6" s="94">
        <f>'Anexa 3'!AF20</f>
        <v>263.13562597585735</v>
      </c>
      <c r="AF6" s="94">
        <f>'Anexa 3'!AG20</f>
        <v>262.73427341274726</v>
      </c>
      <c r="AG6" s="94">
        <f>'Anexa 3'!AH20</f>
        <v>262.3445490527734</v>
      </c>
      <c r="AH6" s="94">
        <f>'Anexa 3'!AI20</f>
        <v>261.96637468729193</v>
      </c>
      <c r="AI6" s="94">
        <f>'Anexa 3'!AJ20</f>
        <v>261.5996730801125</v>
      </c>
      <c r="AJ6" s="94">
        <f>'Anexa 3'!AK20</f>
        <v>261.24436795872521</v>
      </c>
      <c r="AK6" s="94">
        <f>'Anexa 3'!AL20</f>
        <v>260.90038400562082</v>
      </c>
      <c r="AL6" s="94">
        <f>'Anexa 3'!AM20</f>
        <v>260.56764684970176</v>
      </c>
    </row>
    <row r="7" spans="1:38" s="95" customFormat="1" x14ac:dyDescent="0.25">
      <c r="A7" s="92"/>
      <c r="B7" s="93" t="s">
        <v>16</v>
      </c>
      <c r="C7" s="96" t="s">
        <v>17</v>
      </c>
      <c r="D7" s="94">
        <f t="shared" ref="D7:AA7" si="1">D8*100/D5</f>
        <v>40.503336698761352</v>
      </c>
      <c r="E7" s="94">
        <f t="shared" si="1"/>
        <v>43.349337630021374</v>
      </c>
      <c r="F7" s="94">
        <f t="shared" si="1"/>
        <v>44.18097134281598</v>
      </c>
      <c r="G7" s="94">
        <f t="shared" si="1"/>
        <v>43.562638477349772</v>
      </c>
      <c r="H7" s="94">
        <f t="shared" si="1"/>
        <v>44.228251609885405</v>
      </c>
      <c r="I7" s="94">
        <f t="shared" si="1"/>
        <v>44.894700518080782</v>
      </c>
      <c r="J7" s="94">
        <f t="shared" si="1"/>
        <v>45.561741400132995</v>
      </c>
      <c r="K7" s="94">
        <f t="shared" si="1"/>
        <v>44.484053334974419</v>
      </c>
      <c r="L7" s="94">
        <f t="shared" si="1"/>
        <v>41.873695893007628</v>
      </c>
      <c r="M7" s="94">
        <f t="shared" si="1"/>
        <v>38.663772785652625</v>
      </c>
      <c r="N7" s="94">
        <f t="shared" si="1"/>
        <v>38.980082230749893</v>
      </c>
      <c r="O7" s="94">
        <f t="shared" si="1"/>
        <v>39.29616242728855</v>
      </c>
      <c r="P7" s="94">
        <f t="shared" si="1"/>
        <v>39.611974514609628</v>
      </c>
      <c r="Q7" s="94">
        <f t="shared" si="1"/>
        <v>39.927479940372663</v>
      </c>
      <c r="R7" s="94">
        <f t="shared" si="1"/>
        <v>40.139035412452138</v>
      </c>
      <c r="S7" s="94">
        <f t="shared" si="1"/>
        <v>40.349330070514554</v>
      </c>
      <c r="T7" s="94">
        <f t="shared" si="1"/>
        <v>40.558353126294826</v>
      </c>
      <c r="U7" s="94">
        <f t="shared" si="1"/>
        <v>40.766094355597637</v>
      </c>
      <c r="V7" s="94">
        <f t="shared" si="1"/>
        <v>40.972544093404437</v>
      </c>
      <c r="W7" s="94">
        <f t="shared" si="1"/>
        <v>41.177693228629082</v>
      </c>
      <c r="X7" s="94">
        <f t="shared" si="1"/>
        <v>41.381533198536964</v>
      </c>
      <c r="Y7" s="94">
        <f t="shared" si="1"/>
        <v>41.584055982842742</v>
      </c>
      <c r="Z7" s="94">
        <f t="shared" si="1"/>
        <v>41.785254097501578</v>
      </c>
      <c r="AA7" s="94">
        <f t="shared" si="1"/>
        <v>41.985120588208986</v>
      </c>
      <c r="AB7" s="94">
        <f t="shared" ref="AB7:AL7" si="2">AB8*100/AB5</f>
        <v>42.183649023624312</v>
      </c>
      <c r="AC7" s="94">
        <f t="shared" si="2"/>
        <v>42.223969981453088</v>
      </c>
      <c r="AD7" s="94">
        <f t="shared" si="2"/>
        <v>42.263269162104763</v>
      </c>
      <c r="AE7" s="94">
        <f t="shared" si="2"/>
        <v>42.301548171590284</v>
      </c>
      <c r="AF7" s="94">
        <f t="shared" si="2"/>
        <v>42.338808714962326</v>
      </c>
      <c r="AG7" s="94">
        <f t="shared" si="2"/>
        <v>42.375052594952265</v>
      </c>
      <c r="AH7" s="94">
        <f t="shared" si="2"/>
        <v>42.41028171059709</v>
      </c>
      <c r="AI7" s="94">
        <f t="shared" si="2"/>
        <v>42.444498055857117</v>
      </c>
      <c r="AJ7" s="94">
        <f t="shared" si="2"/>
        <v>42.477703718225158</v>
      </c>
      <c r="AK7" s="94">
        <f t="shared" si="2"/>
        <v>42.509900877327887</v>
      </c>
      <c r="AL7" s="94">
        <f t="shared" si="2"/>
        <v>42.54109180352016</v>
      </c>
    </row>
    <row r="8" spans="1:38" s="95" customFormat="1" x14ac:dyDescent="0.25">
      <c r="A8" s="92"/>
      <c r="B8" s="97"/>
      <c r="C8" s="66" t="s">
        <v>15</v>
      </c>
      <c r="D8" s="94">
        <f>'Anexa 3'!E21</f>
        <v>275.45794559999996</v>
      </c>
      <c r="E8" s="94">
        <f>'Anexa 3'!F21</f>
        <v>279.35166959999998</v>
      </c>
      <c r="F8" s="94">
        <f>'Anexa 3'!G21</f>
        <v>309.37939919999997</v>
      </c>
      <c r="G8" s="94">
        <f>'Anexa 3'!H21</f>
        <v>273.29755679999994</v>
      </c>
      <c r="H8" s="94">
        <f>'Anexa 3'!I21</f>
        <v>273.29755679999994</v>
      </c>
      <c r="I8" s="94">
        <f>'Anexa 3'!J21</f>
        <v>273.29755679999994</v>
      </c>
      <c r="J8" s="94">
        <f>'Anexa 3'!K21</f>
        <v>273.29755679999994</v>
      </c>
      <c r="K8" s="94">
        <f>'Anexa 3'!L21</f>
        <v>255.61395679999993</v>
      </c>
      <c r="L8" s="94">
        <f>'Anexa 3'!M21</f>
        <v>225.06955679999993</v>
      </c>
      <c r="M8" s="94">
        <f>'Anexa 3'!N21</f>
        <v>192.91755679999994</v>
      </c>
      <c r="N8" s="94">
        <f>'Anexa 3'!O21</f>
        <v>192.91755679999994</v>
      </c>
      <c r="O8" s="94">
        <f>'Anexa 3'!P21</f>
        <v>192.91755679999994</v>
      </c>
      <c r="P8" s="94">
        <f>'Anexa 3'!Q21</f>
        <v>192.91755679999994</v>
      </c>
      <c r="Q8" s="94">
        <f>'Anexa 3'!R21</f>
        <v>192.91755679999994</v>
      </c>
      <c r="R8" s="94">
        <f>'Anexa 3'!S21</f>
        <v>192.91755679999994</v>
      </c>
      <c r="S8" s="94">
        <f>'Anexa 3'!T21</f>
        <v>192.91755679999994</v>
      </c>
      <c r="T8" s="94">
        <f>'Anexa 3'!U21</f>
        <v>192.91755679999994</v>
      </c>
      <c r="U8" s="94">
        <f>'Anexa 3'!V21</f>
        <v>192.91755679999994</v>
      </c>
      <c r="V8" s="94">
        <f>'Anexa 3'!W21</f>
        <v>192.91755679999994</v>
      </c>
      <c r="W8" s="94">
        <f>'Anexa 3'!X21</f>
        <v>192.91755679999994</v>
      </c>
      <c r="X8" s="94">
        <f>'Anexa 3'!Y21</f>
        <v>192.91755679999994</v>
      </c>
      <c r="Y8" s="94">
        <f>'Anexa 3'!Z21</f>
        <v>192.91755679999994</v>
      </c>
      <c r="Z8" s="94">
        <f>'Anexa 3'!AA21</f>
        <v>192.91755679999994</v>
      </c>
      <c r="AA8" s="94">
        <f>'Anexa 3'!AB21</f>
        <v>192.91755679999994</v>
      </c>
      <c r="AB8" s="94">
        <f>'Anexa 3'!AC21</f>
        <v>192.91755679999994</v>
      </c>
      <c r="AC8" s="94">
        <f>'Anexa 3'!AD21</f>
        <v>192.91755679999994</v>
      </c>
      <c r="AD8" s="94">
        <f>'Anexa 3'!AE21</f>
        <v>192.91755679999994</v>
      </c>
      <c r="AE8" s="94">
        <f>'Anexa 3'!AF21</f>
        <v>192.91755679999994</v>
      </c>
      <c r="AF8" s="94">
        <f>'Anexa 3'!AG21</f>
        <v>192.91755679999994</v>
      </c>
      <c r="AG8" s="94">
        <f>'Anexa 3'!AH21</f>
        <v>192.91755679999994</v>
      </c>
      <c r="AH8" s="94">
        <f>'Anexa 3'!AI21</f>
        <v>192.91755679999994</v>
      </c>
      <c r="AI8" s="94">
        <f>'Anexa 3'!AJ21</f>
        <v>192.91755679999994</v>
      </c>
      <c r="AJ8" s="94">
        <f>'Anexa 3'!AK21</f>
        <v>192.91755679999994</v>
      </c>
      <c r="AK8" s="94">
        <f>'Anexa 3'!AL21</f>
        <v>192.91755679999994</v>
      </c>
      <c r="AL8" s="94">
        <f>'Anexa 3'!AM21</f>
        <v>192.91755679999994</v>
      </c>
    </row>
    <row r="9" spans="1:38" s="83" customFormat="1" x14ac:dyDescent="0.25">
      <c r="A9" s="98"/>
      <c r="B9" s="99"/>
      <c r="C9" s="100"/>
      <c r="D9" s="101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</row>
    <row r="10" spans="1:38" s="83" customFormat="1" x14ac:dyDescent="0.25">
      <c r="A10" s="98"/>
      <c r="B10" s="93" t="s">
        <v>27</v>
      </c>
      <c r="C10" s="66" t="s">
        <v>18</v>
      </c>
      <c r="D10" s="103">
        <f>D31</f>
        <v>108.9</v>
      </c>
      <c r="E10" s="103">
        <f t="shared" ref="E10:AA10" si="3">E31</f>
        <v>126.1</v>
      </c>
      <c r="F10" s="103">
        <f t="shared" si="3"/>
        <v>222.25</v>
      </c>
      <c r="G10" s="103">
        <f t="shared" si="3"/>
        <v>218.61199999999999</v>
      </c>
      <c r="H10" s="103">
        <f t="shared" si="3"/>
        <v>215.50385528081881</v>
      </c>
      <c r="I10" s="103">
        <f t="shared" si="3"/>
        <v>212.29333214423929</v>
      </c>
      <c r="J10" s="103">
        <f t="shared" si="3"/>
        <v>209.17400551977312</v>
      </c>
      <c r="K10" s="103">
        <f t="shared" si="3"/>
        <v>200.34675571987626</v>
      </c>
      <c r="L10" s="103">
        <f t="shared" si="3"/>
        <v>187.35369722815477</v>
      </c>
      <c r="M10" s="103">
        <f t="shared" si="3"/>
        <v>173.86672066957667</v>
      </c>
      <c r="N10" s="103">
        <f t="shared" si="3"/>
        <v>172.44960605494859</v>
      </c>
      <c r="O10" s="103">
        <f t="shared" si="3"/>
        <v>171.05630747961044</v>
      </c>
      <c r="P10" s="103">
        <f t="shared" si="3"/>
        <v>169.68639786296674</v>
      </c>
      <c r="Q10" s="103">
        <f t="shared" si="3"/>
        <v>168.33945789925997</v>
      </c>
      <c r="R10" s="103">
        <f t="shared" si="3"/>
        <v>167.44815518529683</v>
      </c>
      <c r="S10" s="103">
        <f t="shared" si="3"/>
        <v>166.5714273842959</v>
      </c>
      <c r="T10" s="103">
        <f t="shared" si="3"/>
        <v>165.70901030336614</v>
      </c>
      <c r="U10" s="103">
        <f t="shared" si="3"/>
        <v>164.86064465048165</v>
      </c>
      <c r="V10" s="103">
        <f t="shared" si="3"/>
        <v>164.0260759431319</v>
      </c>
      <c r="W10" s="103">
        <f t="shared" si="3"/>
        <v>163.20505441867596</v>
      </c>
      <c r="X10" s="103">
        <f t="shared" si="3"/>
        <v>162.39733494636971</v>
      </c>
      <c r="Y10" s="103">
        <f t="shared" si="3"/>
        <v>161.60267694103402</v>
      </c>
      <c r="Z10" s="103">
        <f t="shared" si="3"/>
        <v>160.82084427833405</v>
      </c>
      <c r="AA10" s="103">
        <f t="shared" si="3"/>
        <v>160.0516052116389</v>
      </c>
      <c r="AB10" s="103">
        <f t="shared" ref="AB10:AL10" si="4">AB31</f>
        <v>159.29473229043268</v>
      </c>
      <c r="AC10" s="103">
        <f t="shared" si="4"/>
        <v>159.1418815915668</v>
      </c>
      <c r="AD10" s="103">
        <f t="shared" si="4"/>
        <v>158.99318495622344</v>
      </c>
      <c r="AE10" s="103">
        <f t="shared" si="4"/>
        <v>158.84861397155004</v>
      </c>
      <c r="AF10" s="103">
        <f t="shared" si="4"/>
        <v>158.70814057446151</v>
      </c>
      <c r="AG10" s="103">
        <f t="shared" si="4"/>
        <v>158.57173704847065</v>
      </c>
      <c r="AH10" s="103">
        <f t="shared" si="4"/>
        <v>158.43937602055215</v>
      </c>
      <c r="AI10" s="103">
        <f t="shared" si="4"/>
        <v>158.31103045803934</v>
      </c>
      <c r="AJ10" s="103">
        <f t="shared" si="4"/>
        <v>158.1866736655538</v>
      </c>
      <c r="AK10" s="103">
        <f t="shared" si="4"/>
        <v>158.06627928196727</v>
      </c>
      <c r="AL10" s="103">
        <f t="shared" si="4"/>
        <v>157.94982127739559</v>
      </c>
    </row>
    <row r="11" spans="1:38" s="95" customFormat="1" x14ac:dyDescent="0.25">
      <c r="A11" s="92"/>
      <c r="B11" s="93" t="s">
        <v>82</v>
      </c>
      <c r="C11" s="66" t="s">
        <v>18</v>
      </c>
      <c r="D11" s="103">
        <v>10.16</v>
      </c>
      <c r="E11" s="103">
        <v>11.58</v>
      </c>
      <c r="F11" s="103">
        <v>20.51</v>
      </c>
      <c r="G11" s="103">
        <f>G12+G13</f>
        <v>29.767910000000001</v>
      </c>
      <c r="H11" s="103">
        <f t="shared" ref="H11" si="5">G11*(H10/G10)</f>
        <v>29.344680843926405</v>
      </c>
      <c r="I11" s="103">
        <f t="shared" ref="I11:I12" si="6">H11*(I10/H10)</f>
        <v>28.907511046373585</v>
      </c>
      <c r="J11" s="103">
        <f t="shared" ref="J11:J12" si="7">I11*(J10/I10)</f>
        <v>28.48275927511806</v>
      </c>
      <c r="K11" s="103">
        <f t="shared" ref="K11:K12" si="8">J11*(K10/J10)</f>
        <v>27.280772295488177</v>
      </c>
      <c r="L11" s="103">
        <f t="shared" ref="L11:L12" si="9">K11*(L10/K10)</f>
        <v>25.511536408133864</v>
      </c>
      <c r="M11" s="103">
        <f t="shared" ref="M11:M12" si="10">L11*(M10/L10)</f>
        <v>23.675044795743592</v>
      </c>
      <c r="N11" s="103">
        <f t="shared" ref="N11:N12" si="11">M11*(N10/M10)</f>
        <v>23.482079449340223</v>
      </c>
      <c r="O11" s="103">
        <f t="shared" ref="O11:O12" si="12">N11*(O10/N10)</f>
        <v>23.292357080056771</v>
      </c>
      <c r="P11" s="103">
        <f t="shared" ref="P11:P12" si="13">O11*(P10/O10)</f>
        <v>23.105819533278076</v>
      </c>
      <c r="Q11" s="103">
        <f t="shared" ref="Q11:Q12" si="14">P11*(Q10/P10)</f>
        <v>22.922409713071382</v>
      </c>
      <c r="R11" s="103">
        <f t="shared" ref="R11:R12" si="15">Q11*(R10/Q10)</f>
        <v>22.801043004144102</v>
      </c>
      <c r="S11" s="103">
        <f t="shared" ref="S11:S12" si="16">R11*(S10/R10)</f>
        <v>22.681660928710485</v>
      </c>
      <c r="T11" s="103">
        <f t="shared" ref="T11:T12" si="17">S11*(T10/S10)</f>
        <v>22.564227512211943</v>
      </c>
      <c r="U11" s="103">
        <f t="shared" ref="U11:U12" si="18">T11*(U10/T10)</f>
        <v>22.448707447429786</v>
      </c>
      <c r="V11" s="103">
        <f t="shared" ref="V11:V12" si="19">U11*(V10/U10)</f>
        <v>22.33506608204635</v>
      </c>
      <c r="W11" s="103">
        <f t="shared" ref="W11:W12" si="20">V11*(W10/V10)</f>
        <v>22.223269406438114</v>
      </c>
      <c r="X11" s="103">
        <f t="shared" ref="X11:X12" si="21">W11*(X10/W10)</f>
        <v>22.113284041696655</v>
      </c>
      <c r="Y11" s="103">
        <f t="shared" ref="Y11:Y12" si="22">X11*(Y10/X10)</f>
        <v>22.00507722787302</v>
      </c>
      <c r="Z11" s="103">
        <f t="shared" ref="Z11:Z12" si="23">Y11*(Z10/Y10)</f>
        <v>21.89861681244151</v>
      </c>
      <c r="AA11" s="103">
        <f t="shared" ref="AA11:AA12" si="24">Z11*(AA10/Z10)</f>
        <v>21.793871238978639</v>
      </c>
      <c r="AB11" s="103">
        <f t="shared" ref="AB11:AB12" si="25">AA11*(AB10/AA10)</f>
        <v>21.690809536053347</v>
      </c>
      <c r="AC11" s="103">
        <f t="shared" ref="AC11:AC12" si="26">AB11*(AC10/AB10)</f>
        <v>21.6699961962217</v>
      </c>
      <c r="AD11" s="103">
        <f t="shared" ref="AD11:AD12" si="27">AC11*(AD10/AC10)</f>
        <v>21.649748505984181</v>
      </c>
      <c r="AE11" s="103">
        <f t="shared" ref="AE11:AE12" si="28">AD11*(AE10/AD10)</f>
        <v>21.630062596425834</v>
      </c>
      <c r="AF11" s="103">
        <f t="shared" ref="AF11:AF12" si="29">AE11*(AF10/AE10)</f>
        <v>21.610934646258755</v>
      </c>
      <c r="AG11" s="103">
        <f t="shared" ref="AG11:AG12" si="30">AF11*(AG10/AF10)</f>
        <v>21.592360881390505</v>
      </c>
      <c r="AH11" s="103">
        <f t="shared" ref="AH11:AH12" si="31">AG11*(AH10/AG10)</f>
        <v>21.574337574497079</v>
      </c>
      <c r="AI11" s="103">
        <f t="shared" ref="AI11:AI12" si="32">AH11*(AI10/AH10)</f>
        <v>21.556861044600364</v>
      </c>
      <c r="AJ11" s="103">
        <f t="shared" ref="AJ11:AJ12" si="33">AI11*(AJ10/AI10)</f>
        <v>21.539927656650029</v>
      </c>
      <c r="AK11" s="103">
        <f t="shared" ref="AK11:AK12" si="34">AJ11*(AK10/AJ10)</f>
        <v>21.523533821109851</v>
      </c>
      <c r="AL11" s="103">
        <f t="shared" ref="AL11:AL12" si="35">AK11*(AL10/AK10)</f>
        <v>21.507675993548375</v>
      </c>
    </row>
    <row r="12" spans="1:38" s="95" customFormat="1" x14ac:dyDescent="0.25">
      <c r="A12" s="92"/>
      <c r="B12" s="93" t="s">
        <v>50</v>
      </c>
      <c r="C12" s="66" t="s">
        <v>33</v>
      </c>
      <c r="D12" s="103">
        <v>10.130000000000001</v>
      </c>
      <c r="E12" s="103">
        <v>10.87</v>
      </c>
      <c r="F12" s="103">
        <v>20.48</v>
      </c>
      <c r="G12" s="103">
        <f>21205.91/1000</f>
        <v>21.205909999999999</v>
      </c>
      <c r="H12" s="103">
        <f t="shared" ref="H12" si="36">G12*(H11/G11)</f>
        <v>20.90441219941297</v>
      </c>
      <c r="I12" s="103">
        <f t="shared" si="6"/>
        <v>20.592983436640466</v>
      </c>
      <c r="J12" s="103">
        <f t="shared" si="7"/>
        <v>20.290400963313139</v>
      </c>
      <c r="K12" s="103">
        <f t="shared" si="8"/>
        <v>19.434135685999308</v>
      </c>
      <c r="L12" s="103">
        <f t="shared" si="9"/>
        <v>18.173776561156291</v>
      </c>
      <c r="M12" s="103">
        <f t="shared" si="10"/>
        <v>16.865506150230466</v>
      </c>
      <c r="N12" s="103">
        <f t="shared" si="11"/>
        <v>16.728042493260642</v>
      </c>
      <c r="O12" s="103">
        <f t="shared" si="12"/>
        <v>16.592889051584297</v>
      </c>
      <c r="P12" s="103">
        <f t="shared" si="13"/>
        <v>16.460004397317007</v>
      </c>
      <c r="Q12" s="103">
        <f t="shared" si="14"/>
        <v>16.329347856753046</v>
      </c>
      <c r="R12" s="103">
        <f t="shared" si="15"/>
        <v>16.242889267402699</v>
      </c>
      <c r="S12" s="103">
        <f t="shared" si="16"/>
        <v>16.157844481011633</v>
      </c>
      <c r="T12" s="103">
        <f t="shared" si="17"/>
        <v>16.074187870209578</v>
      </c>
      <c r="U12" s="103">
        <f t="shared" si="18"/>
        <v>15.991894283022415</v>
      </c>
      <c r="V12" s="103">
        <f t="shared" si="19"/>
        <v>15.910939034011037</v>
      </c>
      <c r="W12" s="103">
        <f t="shared" si="20"/>
        <v>15.831297895575473</v>
      </c>
      <c r="X12" s="103">
        <f t="shared" si="21"/>
        <v>15.75294708942131</v>
      </c>
      <c r="Y12" s="103">
        <f t="shared" si="22"/>
        <v>15.675863278185293</v>
      </c>
      <c r="Z12" s="103">
        <f t="shared" si="23"/>
        <v>15.600023557217202</v>
      </c>
      <c r="AA12" s="103">
        <f t="shared" si="24"/>
        <v>15.525405446515039</v>
      </c>
      <c r="AB12" s="103">
        <f t="shared" si="25"/>
        <v>15.451986882810685</v>
      </c>
      <c r="AC12" s="103">
        <f t="shared" si="26"/>
        <v>15.437159983264518</v>
      </c>
      <c r="AD12" s="103">
        <f t="shared" si="27"/>
        <v>15.42273603825512</v>
      </c>
      <c r="AE12" s="103">
        <f t="shared" si="28"/>
        <v>15.408712291664834</v>
      </c>
      <c r="AF12" s="103">
        <f t="shared" si="29"/>
        <v>15.395086021304317</v>
      </c>
      <c r="AG12" s="103">
        <f t="shared" si="30"/>
        <v>15.381854538605086</v>
      </c>
      <c r="AH12" s="103">
        <f t="shared" si="31"/>
        <v>15.369015188315316</v>
      </c>
      <c r="AI12" s="103">
        <f t="shared" si="32"/>
        <v>15.356565348198826</v>
      </c>
      <c r="AJ12" s="103">
        <f t="shared" si="33"/>
        <v>15.344502428737236</v>
      </c>
      <c r="AK12" s="103">
        <f t="shared" si="34"/>
        <v>15.332823872835267</v>
      </c>
      <c r="AL12" s="103">
        <f t="shared" si="35"/>
        <v>15.321527155529141</v>
      </c>
    </row>
    <row r="13" spans="1:38" s="95" customFormat="1" x14ac:dyDescent="0.25">
      <c r="A13" s="92"/>
      <c r="B13" s="93" t="s">
        <v>51</v>
      </c>
      <c r="C13" s="66" t="s">
        <v>18</v>
      </c>
      <c r="D13" s="103">
        <v>3.3000000000000002E-2</v>
      </c>
      <c r="E13" s="103">
        <v>0.71</v>
      </c>
      <c r="F13" s="103">
        <f>F11-F12</f>
        <v>3.0000000000001137E-2</v>
      </c>
      <c r="G13" s="103">
        <v>8.5619999999999994</v>
      </c>
      <c r="H13" s="103">
        <f t="shared" ref="H13:AA13" si="37">H11-H12</f>
        <v>8.4402686445134343</v>
      </c>
      <c r="I13" s="103">
        <f t="shared" si="37"/>
        <v>8.3145276097331191</v>
      </c>
      <c r="J13" s="103">
        <f t="shared" si="37"/>
        <v>8.1923583118049201</v>
      </c>
      <c r="K13" s="103">
        <f t="shared" si="37"/>
        <v>7.8466366094888684</v>
      </c>
      <c r="L13" s="103">
        <f t="shared" si="37"/>
        <v>7.3377598469775727</v>
      </c>
      <c r="M13" s="103">
        <f t="shared" si="37"/>
        <v>6.8095386455131255</v>
      </c>
      <c r="N13" s="103">
        <f t="shared" si="37"/>
        <v>6.754036956079581</v>
      </c>
      <c r="O13" s="103">
        <f t="shared" si="37"/>
        <v>6.6994680284724737</v>
      </c>
      <c r="P13" s="103">
        <f t="shared" si="37"/>
        <v>6.6458151359610689</v>
      </c>
      <c r="Q13" s="103">
        <f t="shared" si="37"/>
        <v>6.5930618563183359</v>
      </c>
      <c r="R13" s="103">
        <f t="shared" si="37"/>
        <v>6.5581537367414029</v>
      </c>
      <c r="S13" s="103">
        <f t="shared" si="37"/>
        <v>6.5238164476988523</v>
      </c>
      <c r="T13" s="103">
        <f t="shared" si="37"/>
        <v>6.4900396420023654</v>
      </c>
      <c r="U13" s="103">
        <f t="shared" si="37"/>
        <v>6.4568131644073716</v>
      </c>
      <c r="V13" s="103">
        <f t="shared" si="37"/>
        <v>6.424127048035313</v>
      </c>
      <c r="W13" s="103">
        <f t="shared" si="37"/>
        <v>6.3919715108626409</v>
      </c>
      <c r="X13" s="103">
        <f t="shared" si="37"/>
        <v>6.360336952275345</v>
      </c>
      <c r="Y13" s="103">
        <f t="shared" si="37"/>
        <v>6.3292139496877269</v>
      </c>
      <c r="Z13" s="103">
        <f t="shared" si="37"/>
        <v>6.2985932552243078</v>
      </c>
      <c r="AA13" s="103">
        <f t="shared" si="37"/>
        <v>6.2684657924635996</v>
      </c>
      <c r="AB13" s="103">
        <f t="shared" ref="AB13:AL13" si="38">AB11-AB12</f>
        <v>6.2388226532426625</v>
      </c>
      <c r="AC13" s="103">
        <f t="shared" si="38"/>
        <v>6.2328362129571815</v>
      </c>
      <c r="AD13" s="103">
        <f t="shared" si="38"/>
        <v>6.227012467729061</v>
      </c>
      <c r="AE13" s="103">
        <f t="shared" si="38"/>
        <v>6.2213503047609997</v>
      </c>
      <c r="AF13" s="103">
        <f t="shared" si="38"/>
        <v>6.2158486249544378</v>
      </c>
      <c r="AG13" s="103">
        <f t="shared" si="38"/>
        <v>6.2105063427854184</v>
      </c>
      <c r="AH13" s="103">
        <f t="shared" si="38"/>
        <v>6.2053223861817628</v>
      </c>
      <c r="AI13" s="103">
        <f t="shared" si="38"/>
        <v>6.2002956964015379</v>
      </c>
      <c r="AJ13" s="103">
        <f t="shared" si="38"/>
        <v>6.1954252279127928</v>
      </c>
      <c r="AK13" s="103">
        <f t="shared" si="38"/>
        <v>6.1907099482745842</v>
      </c>
      <c r="AL13" s="103">
        <f t="shared" si="38"/>
        <v>6.1861488380192338</v>
      </c>
    </row>
    <row r="14" spans="1:38" s="95" customFormat="1" x14ac:dyDescent="0.25">
      <c r="A14" s="92"/>
      <c r="B14" s="93" t="s">
        <v>76</v>
      </c>
      <c r="C14" s="66" t="s">
        <v>18</v>
      </c>
      <c r="D14" s="94">
        <v>98.81</v>
      </c>
      <c r="E14" s="94">
        <f>E10-E12</f>
        <v>115.22999999999999</v>
      </c>
      <c r="F14" s="94">
        <f>F10-F12</f>
        <v>201.77</v>
      </c>
      <c r="G14" s="94">
        <f t="shared" ref="G14:AA14" si="39">G10-G12</f>
        <v>197.40609000000001</v>
      </c>
      <c r="H14" s="94">
        <f t="shared" si="39"/>
        <v>194.59944308140584</v>
      </c>
      <c r="I14" s="94">
        <f t="shared" si="39"/>
        <v>191.70034870759883</v>
      </c>
      <c r="J14" s="94">
        <f t="shared" si="39"/>
        <v>188.88360455645997</v>
      </c>
      <c r="K14" s="94">
        <f t="shared" si="39"/>
        <v>180.91262003387695</v>
      </c>
      <c r="L14" s="94">
        <f t="shared" si="39"/>
        <v>169.17992066699847</v>
      </c>
      <c r="M14" s="94">
        <f t="shared" si="39"/>
        <v>157.00121451934621</v>
      </c>
      <c r="N14" s="94">
        <f t="shared" si="39"/>
        <v>155.72156356168796</v>
      </c>
      <c r="O14" s="94">
        <f t="shared" si="39"/>
        <v>154.46341842802613</v>
      </c>
      <c r="P14" s="94">
        <f t="shared" si="39"/>
        <v>153.22639346564972</v>
      </c>
      <c r="Q14" s="94">
        <f t="shared" si="39"/>
        <v>152.01011004250694</v>
      </c>
      <c r="R14" s="94">
        <f t="shared" si="39"/>
        <v>151.20526591789414</v>
      </c>
      <c r="S14" s="94">
        <f t="shared" si="39"/>
        <v>150.41358290328427</v>
      </c>
      <c r="T14" s="94">
        <f t="shared" si="39"/>
        <v>149.63482243315656</v>
      </c>
      <c r="U14" s="94">
        <f t="shared" si="39"/>
        <v>148.86875036745923</v>
      </c>
      <c r="V14" s="94">
        <f t="shared" si="39"/>
        <v>148.11513690912085</v>
      </c>
      <c r="W14" s="94">
        <f t="shared" si="39"/>
        <v>147.3737565231005</v>
      </c>
      <c r="X14" s="94">
        <f t="shared" si="39"/>
        <v>146.64438785694841</v>
      </c>
      <c r="Y14" s="94">
        <f t="shared" si="39"/>
        <v>145.92681366284873</v>
      </c>
      <c r="Z14" s="94">
        <f t="shared" si="39"/>
        <v>145.22082072111684</v>
      </c>
      <c r="AA14" s="94">
        <f t="shared" si="39"/>
        <v>144.52619976512386</v>
      </c>
      <c r="AB14" s="94">
        <f t="shared" ref="AB14:AL14" si="40">AB10-AB12</f>
        <v>143.842745407622</v>
      </c>
      <c r="AC14" s="94">
        <f t="shared" si="40"/>
        <v>143.70472160830229</v>
      </c>
      <c r="AD14" s="94">
        <f t="shared" si="40"/>
        <v>143.57044891796832</v>
      </c>
      <c r="AE14" s="94">
        <f t="shared" si="40"/>
        <v>143.4399016798852</v>
      </c>
      <c r="AF14" s="94">
        <f t="shared" si="40"/>
        <v>143.3130545531572</v>
      </c>
      <c r="AG14" s="94">
        <f t="shared" si="40"/>
        <v>143.18988250986555</v>
      </c>
      <c r="AH14" s="94">
        <f t="shared" si="40"/>
        <v>143.07036083223682</v>
      </c>
      <c r="AI14" s="94">
        <f t="shared" si="40"/>
        <v>142.95446510984053</v>
      </c>
      <c r="AJ14" s="94">
        <f t="shared" si="40"/>
        <v>142.84217123681657</v>
      </c>
      <c r="AK14" s="94">
        <f t="shared" si="40"/>
        <v>142.73345540913201</v>
      </c>
      <c r="AL14" s="94">
        <f t="shared" si="40"/>
        <v>142.62829412186645</v>
      </c>
    </row>
    <row r="15" spans="1:38" s="95" customFormat="1" ht="30" x14ac:dyDescent="0.25">
      <c r="A15" s="92"/>
      <c r="B15" s="93" t="s">
        <v>84</v>
      </c>
      <c r="C15" s="66" t="s">
        <v>18</v>
      </c>
      <c r="D15" s="94">
        <f>(8080588/1000000)+1.866</f>
        <v>9.9465880000000002</v>
      </c>
      <c r="E15" s="94">
        <f>(6980850/1000000)+1.796</f>
        <v>8.7768499999999996</v>
      </c>
      <c r="F15" s="94">
        <f>$C$71*'Anexa 3'!G23/1000000+1.796</f>
        <v>9.3817487528911858</v>
      </c>
      <c r="G15" s="94">
        <f>$C$71*'Anexa 3'!H23/1000000+1.796</f>
        <v>8.5921647093219686</v>
      </c>
      <c r="H15" s="94">
        <f>$C$71*'Anexa 3'!I23/1000000+1.796</f>
        <v>8.4898858193197029</v>
      </c>
      <c r="I15" s="94">
        <f>$C$71*'Anexa 3'!J23/1000000+1.796</f>
        <v>8.3905170108770815</v>
      </c>
      <c r="J15" s="94">
        <f>$C$71*'Anexa 3'!K23/1000000+1.796</f>
        <v>8.2939708230346874</v>
      </c>
      <c r="K15" s="94">
        <f>$C$71*'Anexa 3'!L23/1000000+1.796</f>
        <v>8.0207588706126103</v>
      </c>
      <c r="L15" s="94">
        <f>$C$71*'Anexa 3'!M23/1000000+1.796</f>
        <v>7.6186110942464147</v>
      </c>
      <c r="M15" s="94">
        <f>$C$71*'Anexa 3'!N23/1000000+1.796</f>
        <v>7.2011760741246347</v>
      </c>
      <c r="N15" s="94">
        <f>$C$71*'Anexa 3'!O23/1000000+1.796</f>
        <v>7.1573150008067676</v>
      </c>
      <c r="O15" s="94">
        <f>$C$71*'Anexa 3'!P23/1000000+1.796</f>
        <v>7.1141910570299105</v>
      </c>
      <c r="P15" s="94">
        <f>$C$71*'Anexa 3'!Q23/1000000+1.796</f>
        <v>7.0717910242349413</v>
      </c>
      <c r="Q15" s="94">
        <f>$C$71*'Anexa 3'!R23/1000000+1.796</f>
        <v>7.0301019245015279</v>
      </c>
      <c r="R15" s="94">
        <f>$C$71*'Anexa 3'!S23/1000000+1.796</f>
        <v>7.0025152400640032</v>
      </c>
      <c r="S15" s="94">
        <f>$C$71*'Anexa 3'!T23/1000000+1.796</f>
        <v>6.9753796633346603</v>
      </c>
      <c r="T15" s="94">
        <f>$C$71*'Anexa 3'!U23/1000000+1.796</f>
        <v>6.9486870172869946</v>
      </c>
      <c r="U15" s="94">
        <f>$C$71*'Anexa 3'!V23/1000000+1.796</f>
        <v>6.9224292765810382</v>
      </c>
      <c r="V15" s="94">
        <f>$C$71*'Anexa 3'!W23/1000000+1.796</f>
        <v>6.8965985647359904</v>
      </c>
      <c r="W15" s="94">
        <f>$C$71*'Anexa 3'!X23/1000000+1.796</f>
        <v>6.8711871513555982</v>
      </c>
      <c r="X15" s="94">
        <f>$C$71*'Anexa 3'!Y23/1000000+1.796</f>
        <v>6.8461874494053152</v>
      </c>
      <c r="Y15" s="94">
        <f>$C$71*'Anexa 3'!Z23/1000000+1.796</f>
        <v>6.8215920125402416</v>
      </c>
      <c r="Z15" s="94">
        <f>$C$71*'Anexa 3'!AA23/1000000+1.796</f>
        <v>6.7973935324829418</v>
      </c>
      <c r="AA15" s="94">
        <f>$C$71*'Anexa 3'!AB23/1000000+1.796</f>
        <v>6.7735848364501674</v>
      </c>
      <c r="AB15" s="94">
        <f>$C$71*'Anexa 3'!AC23/1000000+1.796</f>
        <v>6.7501588846275995</v>
      </c>
      <c r="AC15" s="94">
        <f>$C$71*'Anexa 3'!AD23/1000000+1.796</f>
        <v>6.7454280070821699</v>
      </c>
      <c r="AD15" s="94">
        <f>$C$71*'Anexa 3'!AE23/1000000+1.796</f>
        <v>6.7408257018362914</v>
      </c>
      <c r="AE15" s="94">
        <f>$C$71*'Anexa 3'!AF23/1000000+1.796</f>
        <v>6.7363510894845859</v>
      </c>
      <c r="AF15" s="94">
        <f>$C$71*'Anexa 3'!AG23/1000000+1.796</f>
        <v>6.7320033014473237</v>
      </c>
      <c r="AG15" s="94">
        <f>$C$71*'Anexa 3'!AH23/1000000+1.796</f>
        <v>6.7277814798723128</v>
      </c>
      <c r="AH15" s="94">
        <f>$C$71*'Anexa 3'!AI23/1000000+1.796</f>
        <v>6.7236847775378399</v>
      </c>
      <c r="AI15" s="94">
        <f>$C$71*'Anexa 3'!AJ23/1000000+1.796</f>
        <v>6.7197123577566265</v>
      </c>
      <c r="AJ15" s="94">
        <f>$C$71*'Anexa 3'!AK23/1000000+1.796</f>
        <v>6.7158633942807846</v>
      </c>
      <c r="AK15" s="94">
        <f>$C$71*'Anexa 3'!AL23/1000000+1.796</f>
        <v>6.7121370712078026</v>
      </c>
      <c r="AL15" s="94">
        <f>$C$71*'Anexa 3'!AM23/1000000+1.796</f>
        <v>6.7085325828874911</v>
      </c>
    </row>
    <row r="16" spans="1:38" s="95" customFormat="1" x14ac:dyDescent="0.25">
      <c r="A16" s="92"/>
      <c r="B16" s="97" t="s">
        <v>61</v>
      </c>
      <c r="C16" s="66" t="s">
        <v>19</v>
      </c>
      <c r="D16" s="94">
        <f>D34+D51</f>
        <v>4.7482999549741827</v>
      </c>
      <c r="E16" s="94">
        <f t="shared" ref="E16:AA16" si="41">E34+E51</f>
        <v>0</v>
      </c>
      <c r="F16" s="94">
        <f t="shared" si="41"/>
        <v>0</v>
      </c>
      <c r="G16" s="94">
        <v>0</v>
      </c>
      <c r="H16" s="94">
        <f>H34+H51</f>
        <v>614.44444444444446</v>
      </c>
      <c r="I16" s="94">
        <f t="shared" si="41"/>
        <v>614.44444444444446</v>
      </c>
      <c r="J16" s="94">
        <f t="shared" si="41"/>
        <v>614.44444444444446</v>
      </c>
      <c r="K16" s="94">
        <f t="shared" si="41"/>
        <v>610.91444444444448</v>
      </c>
      <c r="L16" s="94">
        <f t="shared" si="41"/>
        <v>604.80444444444447</v>
      </c>
      <c r="M16" s="94">
        <f t="shared" si="41"/>
        <v>598.37444444444452</v>
      </c>
      <c r="N16" s="94">
        <f t="shared" si="41"/>
        <v>598.37444444444452</v>
      </c>
      <c r="O16" s="94">
        <f t="shared" si="41"/>
        <v>598.37444444444452</v>
      </c>
      <c r="P16" s="94">
        <f t="shared" si="41"/>
        <v>598.37444444444452</v>
      </c>
      <c r="Q16" s="94">
        <f t="shared" si="41"/>
        <v>598.37444444444452</v>
      </c>
      <c r="R16" s="94">
        <f t="shared" si="41"/>
        <v>598.37444444444452</v>
      </c>
      <c r="S16" s="94">
        <f t="shared" si="41"/>
        <v>598.37444444444452</v>
      </c>
      <c r="T16" s="94">
        <f t="shared" si="41"/>
        <v>598.37444444444452</v>
      </c>
      <c r="U16" s="94">
        <f t="shared" si="41"/>
        <v>598.37444444444452</v>
      </c>
      <c r="V16" s="94">
        <f t="shared" si="41"/>
        <v>598.37444444444452</v>
      </c>
      <c r="W16" s="94">
        <f t="shared" si="41"/>
        <v>598.37444444444452</v>
      </c>
      <c r="X16" s="94">
        <f t="shared" si="41"/>
        <v>598.37444444444452</v>
      </c>
      <c r="Y16" s="94">
        <f t="shared" si="41"/>
        <v>598.37444444444452</v>
      </c>
      <c r="Z16" s="94">
        <f t="shared" si="41"/>
        <v>598.37444444444452</v>
      </c>
      <c r="AA16" s="94">
        <f t="shared" si="41"/>
        <v>598.37444444444452</v>
      </c>
      <c r="AB16" s="94">
        <f t="shared" ref="AB16:AL16" si="42">AB34+AB51</f>
        <v>598.37444444444452</v>
      </c>
      <c r="AC16" s="94">
        <f t="shared" si="42"/>
        <v>598.37444444444452</v>
      </c>
      <c r="AD16" s="94">
        <f t="shared" si="42"/>
        <v>598.37444444444452</v>
      </c>
      <c r="AE16" s="94">
        <f t="shared" si="42"/>
        <v>598.37444444444452</v>
      </c>
      <c r="AF16" s="94">
        <f t="shared" si="42"/>
        <v>598.37444444444452</v>
      </c>
      <c r="AG16" s="94">
        <f t="shared" si="42"/>
        <v>598.37444444444452</v>
      </c>
      <c r="AH16" s="94">
        <f t="shared" si="42"/>
        <v>598.37444444444452</v>
      </c>
      <c r="AI16" s="94">
        <f t="shared" si="42"/>
        <v>598.37444444444452</v>
      </c>
      <c r="AJ16" s="94">
        <f t="shared" si="42"/>
        <v>598.37444444444452</v>
      </c>
      <c r="AK16" s="94">
        <f t="shared" si="42"/>
        <v>598.37444444444452</v>
      </c>
      <c r="AL16" s="94">
        <f t="shared" si="42"/>
        <v>598.37444444444452</v>
      </c>
    </row>
    <row r="17" spans="1:38" s="95" customFormat="1" x14ac:dyDescent="0.25">
      <c r="A17" s="92"/>
      <c r="B17" s="93"/>
      <c r="C17" s="66" t="s">
        <v>20</v>
      </c>
      <c r="D17" s="94">
        <f>(D16*1000/4.1868)/8.24</f>
        <v>137.63494662646931</v>
      </c>
      <c r="E17" s="94">
        <f t="shared" ref="E17:P17" si="43">(E16*1000/4.1868)/8.24</f>
        <v>0</v>
      </c>
      <c r="F17" s="94">
        <f t="shared" si="43"/>
        <v>0</v>
      </c>
      <c r="G17" s="94">
        <f t="shared" si="43"/>
        <v>0</v>
      </c>
      <c r="H17" s="94">
        <f t="shared" si="43"/>
        <v>17810.380371494775</v>
      </c>
      <c r="I17" s="94">
        <f t="shared" si="43"/>
        <v>17810.380371494775</v>
      </c>
      <c r="J17" s="94">
        <f t="shared" si="43"/>
        <v>17810.380371494775</v>
      </c>
      <c r="K17" s="94">
        <f t="shared" si="43"/>
        <v>17708.059253157997</v>
      </c>
      <c r="L17" s="94">
        <f t="shared" si="43"/>
        <v>17530.95386136261</v>
      </c>
      <c r="M17" s="94">
        <f t="shared" si="43"/>
        <v>17344.572900766154</v>
      </c>
      <c r="N17" s="94">
        <f t="shared" si="43"/>
        <v>17344.572900766154</v>
      </c>
      <c r="O17" s="94">
        <f t="shared" si="43"/>
        <v>17344.572900766154</v>
      </c>
      <c r="P17" s="94">
        <f t="shared" si="43"/>
        <v>17344.572900766154</v>
      </c>
      <c r="Q17" s="94">
        <f>(Q16*1000/4.1868)/8.24</f>
        <v>17344.572900766154</v>
      </c>
      <c r="R17" s="94">
        <f t="shared" ref="R17" si="44">(R16*1000/4.1868)/8.24</f>
        <v>17344.572900766154</v>
      </c>
      <c r="S17" s="94">
        <f t="shared" ref="S17" si="45">(S16*1000/4.1868)/8.24</f>
        <v>17344.572900766154</v>
      </c>
      <c r="T17" s="94">
        <f t="shared" ref="T17" si="46">(T16*1000/4.1868)/8.24</f>
        <v>17344.572900766154</v>
      </c>
      <c r="U17" s="94">
        <f t="shared" ref="U17" si="47">(U16*1000/4.1868)/8.24</f>
        <v>17344.572900766154</v>
      </c>
      <c r="V17" s="94">
        <f t="shared" ref="V17" si="48">(V16*1000/4.1868)/8.24</f>
        <v>17344.572900766154</v>
      </c>
      <c r="W17" s="94">
        <f t="shared" ref="W17" si="49">(W16*1000/4.1868)/8.24</f>
        <v>17344.572900766154</v>
      </c>
      <c r="X17" s="94">
        <f t="shared" ref="X17" si="50">(X16*1000/4.1868)/8.24</f>
        <v>17344.572900766154</v>
      </c>
      <c r="Y17" s="94">
        <f t="shared" ref="Y17" si="51">(Y16*1000/4.1868)/8.24</f>
        <v>17344.572900766154</v>
      </c>
      <c r="Z17" s="94">
        <f t="shared" ref="Z17" si="52">(Z16*1000/4.1868)/8.24</f>
        <v>17344.572900766154</v>
      </c>
      <c r="AA17" s="94">
        <f t="shared" ref="AA17:AL17" si="53">(AA16*1000/4.1868)/8.24</f>
        <v>17344.572900766154</v>
      </c>
      <c r="AB17" s="94">
        <f t="shared" si="53"/>
        <v>17344.572900766154</v>
      </c>
      <c r="AC17" s="94">
        <f t="shared" si="53"/>
        <v>17344.572900766154</v>
      </c>
      <c r="AD17" s="94">
        <f t="shared" si="53"/>
        <v>17344.572900766154</v>
      </c>
      <c r="AE17" s="94">
        <f t="shared" si="53"/>
        <v>17344.572900766154</v>
      </c>
      <c r="AF17" s="94">
        <f t="shared" si="53"/>
        <v>17344.572900766154</v>
      </c>
      <c r="AG17" s="94">
        <f t="shared" si="53"/>
        <v>17344.572900766154</v>
      </c>
      <c r="AH17" s="94">
        <f t="shared" si="53"/>
        <v>17344.572900766154</v>
      </c>
      <c r="AI17" s="94">
        <f t="shared" si="53"/>
        <v>17344.572900766154</v>
      </c>
      <c r="AJ17" s="94">
        <f t="shared" si="53"/>
        <v>17344.572900766154</v>
      </c>
      <c r="AK17" s="94">
        <f t="shared" si="53"/>
        <v>17344.572900766154</v>
      </c>
      <c r="AL17" s="94">
        <f t="shared" si="53"/>
        <v>17344.572900766154</v>
      </c>
    </row>
    <row r="18" spans="1:38" s="95" customFormat="1" x14ac:dyDescent="0.25">
      <c r="A18" s="92"/>
      <c r="B18" s="93"/>
      <c r="C18" s="66" t="s">
        <v>41</v>
      </c>
      <c r="D18" s="94">
        <f>D17*8.24/0.9/1.162</f>
        <v>1084.4444063894696</v>
      </c>
      <c r="E18" s="94">
        <f t="shared" ref="E18:AA18" si="54">E17*8.24/0.9/1.162</f>
        <v>0</v>
      </c>
      <c r="F18" s="94">
        <f t="shared" ref="F18" si="55">F17*8.24/0.9/1.162</f>
        <v>0</v>
      </c>
      <c r="G18" s="94">
        <f t="shared" si="54"/>
        <v>0</v>
      </c>
      <c r="H18" s="94">
        <f t="shared" si="54"/>
        <v>140330.40185610726</v>
      </c>
      <c r="I18" s="94">
        <f t="shared" si="54"/>
        <v>140330.40185610726</v>
      </c>
      <c r="J18" s="94">
        <f t="shared" si="54"/>
        <v>140330.40185610726</v>
      </c>
      <c r="K18" s="94">
        <f t="shared" si="54"/>
        <v>139524.1998910135</v>
      </c>
      <c r="L18" s="94">
        <f t="shared" si="54"/>
        <v>138128.76249534127</v>
      </c>
      <c r="M18" s="94">
        <f t="shared" si="54"/>
        <v>136660.24163541128</v>
      </c>
      <c r="N18" s="94">
        <f t="shared" si="54"/>
        <v>136660.24163541128</v>
      </c>
      <c r="O18" s="94">
        <f t="shared" si="54"/>
        <v>136660.24163541128</v>
      </c>
      <c r="P18" s="94">
        <f t="shared" si="54"/>
        <v>136660.24163541128</v>
      </c>
      <c r="Q18" s="94">
        <f t="shared" si="54"/>
        <v>136660.24163541128</v>
      </c>
      <c r="R18" s="94">
        <f t="shared" si="54"/>
        <v>136660.24163541128</v>
      </c>
      <c r="S18" s="94">
        <f t="shared" si="54"/>
        <v>136660.24163541128</v>
      </c>
      <c r="T18" s="94">
        <f t="shared" si="54"/>
        <v>136660.24163541128</v>
      </c>
      <c r="U18" s="94">
        <f t="shared" si="54"/>
        <v>136660.24163541128</v>
      </c>
      <c r="V18" s="94">
        <f t="shared" si="54"/>
        <v>136660.24163541128</v>
      </c>
      <c r="W18" s="94">
        <f t="shared" si="54"/>
        <v>136660.24163541128</v>
      </c>
      <c r="X18" s="94">
        <f t="shared" ref="X18:Z18" si="56">X17*8.24/0.9/1.162</f>
        <v>136660.24163541128</v>
      </c>
      <c r="Y18" s="94">
        <f t="shared" si="56"/>
        <v>136660.24163541128</v>
      </c>
      <c r="Z18" s="94">
        <f t="shared" si="56"/>
        <v>136660.24163541128</v>
      </c>
      <c r="AA18" s="94">
        <f t="shared" si="54"/>
        <v>136660.24163541128</v>
      </c>
      <c r="AB18" s="94">
        <f t="shared" ref="AB18:AL18" si="57">AB17*8.24/0.9/1.162</f>
        <v>136660.24163541128</v>
      </c>
      <c r="AC18" s="94">
        <f t="shared" si="57"/>
        <v>136660.24163541128</v>
      </c>
      <c r="AD18" s="94">
        <f t="shared" si="57"/>
        <v>136660.24163541128</v>
      </c>
      <c r="AE18" s="94">
        <f t="shared" si="57"/>
        <v>136660.24163541128</v>
      </c>
      <c r="AF18" s="94">
        <f t="shared" si="57"/>
        <v>136660.24163541128</v>
      </c>
      <c r="AG18" s="94">
        <f t="shared" si="57"/>
        <v>136660.24163541128</v>
      </c>
      <c r="AH18" s="94">
        <f t="shared" si="57"/>
        <v>136660.24163541128</v>
      </c>
      <c r="AI18" s="94">
        <f t="shared" si="57"/>
        <v>136660.24163541128</v>
      </c>
      <c r="AJ18" s="94">
        <f t="shared" si="57"/>
        <v>136660.24163541128</v>
      </c>
      <c r="AK18" s="94">
        <f t="shared" si="57"/>
        <v>136660.24163541128</v>
      </c>
      <c r="AL18" s="94">
        <f t="shared" si="57"/>
        <v>136660.24163541128</v>
      </c>
    </row>
    <row r="19" spans="1:38" s="83" customFormat="1" hidden="1" x14ac:dyDescent="0.25">
      <c r="A19" s="98"/>
      <c r="B19" s="99" t="s">
        <v>42</v>
      </c>
      <c r="C19" s="100" t="s">
        <v>19</v>
      </c>
      <c r="D19" s="102">
        <f>D36</f>
        <v>1121.0782394885666</v>
      </c>
      <c r="E19" s="102">
        <f>E36</f>
        <v>1298.1447750184411</v>
      </c>
      <c r="F19" s="102">
        <f>F36</f>
        <v>2287.9672977624787</v>
      </c>
      <c r="G19" s="102">
        <f t="shared" ref="G19:AA19" si="58">G36</f>
        <v>2250.5156665847067</v>
      </c>
      <c r="H19" s="102">
        <f t="shared" si="58"/>
        <v>2218.5186655759344</v>
      </c>
      <c r="I19" s="102">
        <f t="shared" si="58"/>
        <v>2185.4677231903152</v>
      </c>
      <c r="J19" s="102">
        <f t="shared" si="58"/>
        <v>2153.3556093193656</v>
      </c>
      <c r="K19" s="102">
        <f t="shared" si="58"/>
        <v>2062.4829034865452</v>
      </c>
      <c r="L19" s="102">
        <f t="shared" si="58"/>
        <v>1928.7250050524674</v>
      </c>
      <c r="M19" s="102">
        <f t="shared" si="58"/>
        <v>1789.8824344710688</v>
      </c>
      <c r="N19" s="102">
        <f t="shared" si="58"/>
        <v>1775.2938545140369</v>
      </c>
      <c r="O19" s="102">
        <f t="shared" si="58"/>
        <v>1760.9504503457908</v>
      </c>
      <c r="P19" s="102">
        <f t="shared" si="58"/>
        <v>1746.8478253569442</v>
      </c>
      <c r="Q19" s="102">
        <f t="shared" si="58"/>
        <v>1732.9816629766945</v>
      </c>
      <c r="R19" s="102">
        <f t="shared" si="58"/>
        <v>1723.8060883447283</v>
      </c>
      <c r="S19" s="102">
        <f t="shared" si="58"/>
        <v>1714.7805561164746</v>
      </c>
      <c r="T19" s="102">
        <f t="shared" si="58"/>
        <v>1705.9023465407756</v>
      </c>
      <c r="U19" s="102">
        <f t="shared" si="58"/>
        <v>1697.1687903187526</v>
      </c>
      <c r="V19" s="102">
        <f t="shared" si="58"/>
        <v>1688.5772676633997</v>
      </c>
      <c r="W19" s="102">
        <f t="shared" si="58"/>
        <v>1680.1252073767212</v>
      </c>
      <c r="X19" s="102">
        <f t="shared" ref="X19:Z19" si="59">X36</f>
        <v>1671.8100859440888</v>
      </c>
      <c r="Y19" s="102">
        <f t="shared" si="59"/>
        <v>1663.6294266454909</v>
      </c>
      <c r="Z19" s="102">
        <f t="shared" si="59"/>
        <v>1655.5807986833761</v>
      </c>
      <c r="AA19" s="102">
        <f t="shared" si="58"/>
        <v>1647.6618163267515</v>
      </c>
      <c r="AB19" s="102">
        <f t="shared" ref="AB19:AL19" si="60">AB36</f>
        <v>1639.8701380712653</v>
      </c>
      <c r="AC19" s="102">
        <f t="shared" si="60"/>
        <v>1638.2966064607131</v>
      </c>
      <c r="AD19" s="102">
        <f t="shared" si="60"/>
        <v>1636.7658391313412</v>
      </c>
      <c r="AE19" s="102">
        <f t="shared" si="60"/>
        <v>1635.2775435851629</v>
      </c>
      <c r="AF19" s="102">
        <f t="shared" si="60"/>
        <v>1633.8314309248967</v>
      </c>
      <c r="AG19" s="102">
        <f t="shared" si="60"/>
        <v>1632.427215821335</v>
      </c>
      <c r="AH19" s="102">
        <f t="shared" si="60"/>
        <v>1631.0646164810619</v>
      </c>
      <c r="AI19" s="102">
        <f t="shared" si="60"/>
        <v>1629.7433546145048</v>
      </c>
      <c r="AJ19" s="102">
        <f t="shared" si="60"/>
        <v>1628.4631554043294</v>
      </c>
      <c r="AK19" s="102">
        <f t="shared" si="60"/>
        <v>1627.2237474741592</v>
      </c>
      <c r="AL19" s="102">
        <f t="shared" si="60"/>
        <v>1626.0248628576344</v>
      </c>
    </row>
    <row r="20" spans="1:38" s="83" customFormat="1" hidden="1" x14ac:dyDescent="0.25">
      <c r="A20" s="98"/>
      <c r="B20" s="99"/>
      <c r="C20" s="100" t="s">
        <v>20</v>
      </c>
      <c r="D20" s="105">
        <f>D19*1000/4.1868/8.392</f>
        <v>31907.166027195104</v>
      </c>
      <c r="E20" s="105">
        <f t="shared" ref="E20:S20" si="61">E19*1000/4.1868/8.392</f>
        <v>36946.681689892583</v>
      </c>
      <c r="F20" s="105">
        <f t="shared" si="61"/>
        <v>65118.16023456485</v>
      </c>
      <c r="G20" s="105">
        <f t="shared" si="61"/>
        <v>64052.244072885012</v>
      </c>
      <c r="H20" s="105">
        <f t="shared" si="61"/>
        <v>63141.572910428971</v>
      </c>
      <c r="I20" s="105">
        <f t="shared" si="61"/>
        <v>62200.905373670517</v>
      </c>
      <c r="J20" s="105">
        <f t="shared" si="61"/>
        <v>61286.957967794537</v>
      </c>
      <c r="K20" s="105">
        <f t="shared" si="61"/>
        <v>58700.617059357137</v>
      </c>
      <c r="L20" s="105">
        <f t="shared" si="61"/>
        <v>54893.714630556271</v>
      </c>
      <c r="M20" s="105">
        <f t="shared" si="61"/>
        <v>50942.096630010456</v>
      </c>
      <c r="N20" s="105">
        <f t="shared" si="61"/>
        <v>50526.888996507209</v>
      </c>
      <c r="O20" s="105">
        <f t="shared" si="61"/>
        <v>50118.659345737993</v>
      </c>
      <c r="P20" s="105">
        <f t="shared" si="61"/>
        <v>49717.282545182417</v>
      </c>
      <c r="Q20" s="105">
        <f t="shared" si="61"/>
        <v>49322.635740309539</v>
      </c>
      <c r="R20" s="105">
        <f t="shared" si="61"/>
        <v>49061.488415471067</v>
      </c>
      <c r="S20" s="105">
        <f t="shared" si="61"/>
        <v>48804.611468664865</v>
      </c>
      <c r="T20" s="105">
        <f t="shared" ref="T20:AA20" si="62">T19*1000/4.1868/8.5</f>
        <v>47935.032413938927</v>
      </c>
      <c r="U20" s="105">
        <f t="shared" si="62"/>
        <v>47689.623700221782</v>
      </c>
      <c r="V20" s="105">
        <f t="shared" si="62"/>
        <v>47448.206061161407</v>
      </c>
      <c r="W20" s="105">
        <f t="shared" si="62"/>
        <v>47210.707247335355</v>
      </c>
      <c r="X20" s="105">
        <f t="shared" ref="X20:Z20" si="63">X19*1000/4.1868/8.5</f>
        <v>46977.056349200822</v>
      </c>
      <c r="Y20" s="105">
        <f t="shared" si="63"/>
        <v>46747.18377212109</v>
      </c>
      <c r="Z20" s="105">
        <f t="shared" si="63"/>
        <v>46521.021211858446</v>
      </c>
      <c r="AA20" s="105">
        <f t="shared" si="62"/>
        <v>46298.5016305237</v>
      </c>
      <c r="AB20" s="105">
        <f t="shared" ref="AB20:AL20" si="64">AB19*1000/4.1868/8.5</f>
        <v>46079.559232974934</v>
      </c>
      <c r="AC20" s="105">
        <f t="shared" si="64"/>
        <v>46035.343754340342</v>
      </c>
      <c r="AD20" s="105">
        <f t="shared" si="64"/>
        <v>45992.329931362467</v>
      </c>
      <c r="AE20" s="105">
        <f t="shared" si="64"/>
        <v>45950.509544989094</v>
      </c>
      <c r="AF20" s="105">
        <f t="shared" si="64"/>
        <v>45909.874477346078</v>
      </c>
      <c r="AG20" s="105">
        <f t="shared" si="64"/>
        <v>45870.416710820427</v>
      </c>
      <c r="AH20" s="105">
        <f t="shared" si="64"/>
        <v>45832.128327153179</v>
      </c>
      <c r="AI20" s="105">
        <f t="shared" si="64"/>
        <v>45795.001506541703</v>
      </c>
      <c r="AJ20" s="105">
        <f t="shared" si="64"/>
        <v>45759.028526751572</v>
      </c>
      <c r="AK20" s="105">
        <f t="shared" si="64"/>
        <v>45724.201762237601</v>
      </c>
      <c r="AL20" s="105">
        <f t="shared" si="64"/>
        <v>45690.513683274447</v>
      </c>
    </row>
    <row r="21" spans="1:38" s="83" customFormat="1" hidden="1" x14ac:dyDescent="0.25">
      <c r="A21" s="98"/>
      <c r="B21" s="99" t="s">
        <v>26</v>
      </c>
      <c r="C21" s="100" t="s">
        <v>15</v>
      </c>
      <c r="D21" s="102">
        <f>D38+D50</f>
        <v>-1116.3299395335923</v>
      </c>
      <c r="E21" s="102">
        <f t="shared" ref="E21:AA21" si="65">E38+E50</f>
        <v>-1295.8102677034669</v>
      </c>
      <c r="F21" s="102">
        <f t="shared" si="65"/>
        <v>-2285.6327904475047</v>
      </c>
      <c r="G21" s="102">
        <f t="shared" si="65"/>
        <v>-2250.5156665847067</v>
      </c>
      <c r="H21" s="102">
        <f t="shared" si="65"/>
        <v>-1604.07422113149</v>
      </c>
      <c r="I21" s="102">
        <f t="shared" si="65"/>
        <v>-1571.0232787458708</v>
      </c>
      <c r="J21" s="102">
        <f t="shared" si="65"/>
        <v>-1538.9111648749213</v>
      </c>
      <c r="K21" s="102">
        <f t="shared" si="65"/>
        <v>-1451.5684590421008</v>
      </c>
      <c r="L21" s="102">
        <f t="shared" si="65"/>
        <v>-1323.9205606080232</v>
      </c>
      <c r="M21" s="102">
        <f t="shared" si="65"/>
        <v>-1191.5079900266244</v>
      </c>
      <c r="N21" s="102">
        <f t="shared" si="65"/>
        <v>-1176.9194100695925</v>
      </c>
      <c r="O21" s="102">
        <f t="shared" si="65"/>
        <v>-1162.5760059013464</v>
      </c>
      <c r="P21" s="102">
        <f t="shared" si="65"/>
        <v>-1148.4733809124998</v>
      </c>
      <c r="Q21" s="102">
        <f t="shared" si="65"/>
        <v>-1134.60721853225</v>
      </c>
      <c r="R21" s="102">
        <f t="shared" si="65"/>
        <v>-1125.4316439002839</v>
      </c>
      <c r="S21" s="102">
        <f t="shared" si="65"/>
        <v>-1116.4061116720302</v>
      </c>
      <c r="T21" s="102">
        <f t="shared" si="65"/>
        <v>-1107.5279020963312</v>
      </c>
      <c r="U21" s="102">
        <f t="shared" si="65"/>
        <v>-1098.7943458743082</v>
      </c>
      <c r="V21" s="102">
        <f t="shared" si="65"/>
        <v>-1090.2028232189552</v>
      </c>
      <c r="W21" s="102">
        <f t="shared" si="65"/>
        <v>-1081.7507629322768</v>
      </c>
      <c r="X21" s="102">
        <f t="shared" ref="X21:Z21" si="66">X38+X50</f>
        <v>-1073.4356414996444</v>
      </c>
      <c r="Y21" s="102">
        <f t="shared" si="66"/>
        <v>-1065.2549822010465</v>
      </c>
      <c r="Z21" s="102">
        <f t="shared" si="66"/>
        <v>-1057.2063542389317</v>
      </c>
      <c r="AA21" s="102">
        <f t="shared" si="65"/>
        <v>-1049.2873718823071</v>
      </c>
      <c r="AB21" s="102">
        <f t="shared" ref="AB21:AL21" si="67">AB38+AB50</f>
        <v>-1041.4956936268209</v>
      </c>
      <c r="AC21" s="102">
        <f t="shared" si="67"/>
        <v>-1039.9221620162687</v>
      </c>
      <c r="AD21" s="102">
        <f t="shared" si="67"/>
        <v>-1038.3913946868968</v>
      </c>
      <c r="AE21" s="102">
        <f t="shared" si="67"/>
        <v>-1036.9030991407185</v>
      </c>
      <c r="AF21" s="102">
        <f t="shared" si="67"/>
        <v>-1035.4569864804523</v>
      </c>
      <c r="AG21" s="102">
        <f t="shared" si="67"/>
        <v>-1034.0527713768906</v>
      </c>
      <c r="AH21" s="102">
        <f t="shared" si="67"/>
        <v>-1032.6901720366175</v>
      </c>
      <c r="AI21" s="102">
        <f t="shared" si="67"/>
        <v>-1031.3689101700604</v>
      </c>
      <c r="AJ21" s="102">
        <f t="shared" si="67"/>
        <v>-1030.088710959885</v>
      </c>
      <c r="AK21" s="102">
        <f t="shared" si="67"/>
        <v>-1028.8493030297147</v>
      </c>
      <c r="AL21" s="102">
        <f t="shared" si="67"/>
        <v>-1027.65041841319</v>
      </c>
    </row>
    <row r="22" spans="1:38" s="83" customFormat="1" hidden="1" x14ac:dyDescent="0.25">
      <c r="A22" s="98"/>
      <c r="B22" s="99"/>
      <c r="C22" s="100" t="s">
        <v>20</v>
      </c>
      <c r="D22" s="102">
        <f>D21*1000/4.1868/8.5</f>
        <v>-31368.332392943441</v>
      </c>
      <c r="E22" s="102">
        <f t="shared" ref="E22:AA22" si="68">E21*1000/4.1868/8.5</f>
        <v>-36411.642970441193</v>
      </c>
      <c r="F22" s="102">
        <f t="shared" si="68"/>
        <v>-64225.178023016451</v>
      </c>
      <c r="G22" s="102">
        <f t="shared" si="68"/>
        <v>-63238.403795253063</v>
      </c>
      <c r="H22" s="102">
        <f t="shared" si="68"/>
        <v>-45073.71124743564</v>
      </c>
      <c r="I22" s="102">
        <f t="shared" si="68"/>
        <v>-44144.99572173247</v>
      </c>
      <c r="J22" s="102">
        <f t="shared" si="68"/>
        <v>-43242.660824072336</v>
      </c>
      <c r="K22" s="102">
        <f t="shared" si="68"/>
        <v>-40788.372954835671</v>
      </c>
      <c r="L22" s="102">
        <f t="shared" si="68"/>
        <v>-37201.528630823574</v>
      </c>
      <c r="M22" s="102">
        <f t="shared" si="68"/>
        <v>-33480.799319615835</v>
      </c>
      <c r="N22" s="102">
        <f t="shared" si="68"/>
        <v>-33070.867265455934</v>
      </c>
      <c r="O22" s="102">
        <f t="shared" si="68"/>
        <v>-32667.824532602364</v>
      </c>
      <c r="P22" s="102">
        <f t="shared" si="68"/>
        <v>-32271.547578453847</v>
      </c>
      <c r="Q22" s="102">
        <f t="shared" si="68"/>
        <v>-31881.915109454647</v>
      </c>
      <c r="R22" s="102">
        <f t="shared" si="68"/>
        <v>-31624.085891802359</v>
      </c>
      <c r="S22" s="102">
        <f t="shared" si="68"/>
        <v>-31370.472793261466</v>
      </c>
      <c r="T22" s="102">
        <f t="shared" si="68"/>
        <v>-31120.999390137382</v>
      </c>
      <c r="U22" s="102">
        <f t="shared" si="68"/>
        <v>-30875.590676420237</v>
      </c>
      <c r="V22" s="102">
        <f t="shared" si="68"/>
        <v>-30634.173037359862</v>
      </c>
      <c r="W22" s="102">
        <f t="shared" si="68"/>
        <v>-30396.674223533817</v>
      </c>
      <c r="X22" s="102">
        <f t="shared" ref="X22:Z22" si="69">X21*1000/4.1868/8.5</f>
        <v>-30163.023325399277</v>
      </c>
      <c r="Y22" s="102">
        <f t="shared" si="69"/>
        <v>-29933.150748319553</v>
      </c>
      <c r="Z22" s="102">
        <f t="shared" si="69"/>
        <v>-29706.988188056912</v>
      </c>
      <c r="AA22" s="102">
        <f t="shared" si="68"/>
        <v>-29484.468606722166</v>
      </c>
      <c r="AB22" s="102">
        <f t="shared" ref="AB22:AL22" si="70">AB21*1000/4.1868/8.5</f>
        <v>-29265.526209173393</v>
      </c>
      <c r="AC22" s="102">
        <f t="shared" si="70"/>
        <v>-29221.3107305388</v>
      </c>
      <c r="AD22" s="102">
        <f t="shared" si="70"/>
        <v>-29178.296907560929</v>
      </c>
      <c r="AE22" s="102">
        <f t="shared" si="70"/>
        <v>-29136.476521187553</v>
      </c>
      <c r="AF22" s="102">
        <f t="shared" si="70"/>
        <v>-29095.841453544537</v>
      </c>
      <c r="AG22" s="102">
        <f t="shared" si="70"/>
        <v>-29056.383687018882</v>
      </c>
      <c r="AH22" s="102">
        <f t="shared" si="70"/>
        <v>-29018.095303351638</v>
      </c>
      <c r="AI22" s="102">
        <f t="shared" si="70"/>
        <v>-28980.968482740165</v>
      </c>
      <c r="AJ22" s="102">
        <f t="shared" si="70"/>
        <v>-28944.995502950031</v>
      </c>
      <c r="AK22" s="102">
        <f t="shared" si="70"/>
        <v>-28910.168738436059</v>
      </c>
      <c r="AL22" s="102">
        <f t="shared" si="70"/>
        <v>-28876.480659472909</v>
      </c>
    </row>
    <row r="23" spans="1:38" s="95" customFormat="1" x14ac:dyDescent="0.25">
      <c r="A23" s="92"/>
      <c r="B23" s="97" t="s">
        <v>81</v>
      </c>
      <c r="C23" s="66" t="s">
        <v>19</v>
      </c>
      <c r="D23" s="94">
        <f>D40</f>
        <v>1796.890247504303</v>
      </c>
      <c r="E23" s="94">
        <f t="shared" ref="E23:AA23" si="71">E40</f>
        <v>1853.2760217104194</v>
      </c>
      <c r="F23" s="94">
        <f t="shared" si="71"/>
        <v>3073.6790742258936</v>
      </c>
      <c r="G23" s="94">
        <f t="shared" si="71"/>
        <v>3471.3525384</v>
      </c>
      <c r="H23" s="94">
        <f t="shared" si="71"/>
        <v>2803.3208738410899</v>
      </c>
      <c r="I23" s="94">
        <f t="shared" si="71"/>
        <v>2752.4402681553047</v>
      </c>
      <c r="J23" s="94">
        <f t="shared" si="71"/>
        <v>2703.0049514692751</v>
      </c>
      <c r="K23" s="94">
        <f t="shared" si="71"/>
        <v>2566.6400504666353</v>
      </c>
      <c r="L23" s="94">
        <f t="shared" si="71"/>
        <v>2366.8351083697071</v>
      </c>
      <c r="M23" s="94">
        <f t="shared" si="71"/>
        <v>2159.5225165933598</v>
      </c>
      <c r="N23" s="94">
        <f t="shared" si="71"/>
        <v>2137.0639804448638</v>
      </c>
      <c r="O23" s="94">
        <f t="shared" si="71"/>
        <v>2114.9828826304192</v>
      </c>
      <c r="P23" s="94">
        <f t="shared" si="71"/>
        <v>2093.2724547454891</v>
      </c>
      <c r="Q23" s="94">
        <f t="shared" si="71"/>
        <v>2071.9260516017303</v>
      </c>
      <c r="R23" s="94">
        <f t="shared" si="71"/>
        <v>2057.8006209455461</v>
      </c>
      <c r="S23" s="94">
        <f t="shared" si="71"/>
        <v>2043.9061745769025</v>
      </c>
      <c r="T23" s="94">
        <f t="shared" si="71"/>
        <v>2030.2385255475226</v>
      </c>
      <c r="U23" s="94">
        <f t="shared" si="71"/>
        <v>2016.7935645783994</v>
      </c>
      <c r="V23" s="94">
        <f t="shared" si="71"/>
        <v>2003.5672586120761</v>
      </c>
      <c r="W23" s="94">
        <f t="shared" si="71"/>
        <v>1990.5556493919387</v>
      </c>
      <c r="X23" s="94">
        <f t="shared" si="71"/>
        <v>1977.7548520680077</v>
      </c>
      <c r="Y23" s="94">
        <f t="shared" si="71"/>
        <v>1965.1610538287543</v>
      </c>
      <c r="Z23" s="94">
        <f t="shared" si="71"/>
        <v>1952.7705125584355</v>
      </c>
      <c r="AA23" s="94">
        <f t="shared" si="71"/>
        <v>1940.5795555194788</v>
      </c>
      <c r="AB23" s="94">
        <f t="shared" ref="AB23:AL23" si="72">AB40</f>
        <v>1928.5845780594589</v>
      </c>
      <c r="AC23" s="94">
        <f t="shared" si="72"/>
        <v>1926.162188994829</v>
      </c>
      <c r="AD23" s="94">
        <f t="shared" si="72"/>
        <v>1923.8056338329909</v>
      </c>
      <c r="AE23" s="94">
        <f t="shared" si="72"/>
        <v>1921.5144622849759</v>
      </c>
      <c r="AF23" s="94">
        <f t="shared" si="72"/>
        <v>1919.2882296049595</v>
      </c>
      <c r="AG23" s="94">
        <f t="shared" si="72"/>
        <v>1917.1264965400217</v>
      </c>
      <c r="AH23" s="94">
        <f t="shared" si="72"/>
        <v>1915.0288292804537</v>
      </c>
      <c r="AI23" s="94">
        <f t="shared" si="72"/>
        <v>1912.9947994105771</v>
      </c>
      <c r="AJ23" s="94">
        <f t="shared" si="72"/>
        <v>1911.0239838600785</v>
      </c>
      <c r="AK23" s="94">
        <f t="shared" si="72"/>
        <v>1909.1159648558689</v>
      </c>
      <c r="AL23" s="94">
        <f t="shared" si="72"/>
        <v>1907.2703298744379</v>
      </c>
    </row>
    <row r="24" spans="1:38" s="83" customFormat="1" x14ac:dyDescent="0.25">
      <c r="A24" s="98"/>
      <c r="B24" s="99"/>
      <c r="C24" s="66" t="s">
        <v>29</v>
      </c>
      <c r="D24" s="94">
        <f>D41</f>
        <v>118788.12699999999</v>
      </c>
      <c r="E24" s="94">
        <f>E41</f>
        <v>122515.656</v>
      </c>
      <c r="F24" s="94">
        <f t="shared" ref="F24:AA24" si="73">F41</f>
        <v>203193.59</v>
      </c>
      <c r="G24" s="94">
        <f t="shared" si="73"/>
        <v>218250.27500000005</v>
      </c>
      <c r="H24" s="94">
        <f t="shared" si="73"/>
        <v>176249.90399593874</v>
      </c>
      <c r="I24" s="94">
        <f t="shared" si="73"/>
        <v>173050.9473759328</v>
      </c>
      <c r="J24" s="94">
        <f t="shared" si="73"/>
        <v>169942.85871536389</v>
      </c>
      <c r="K24" s="94">
        <f t="shared" si="73"/>
        <v>161369.3482997691</v>
      </c>
      <c r="L24" s="94">
        <f t="shared" si="73"/>
        <v>148807.24661847082</v>
      </c>
      <c r="M24" s="94">
        <f t="shared" si="73"/>
        <v>135773.12528805557</v>
      </c>
      <c r="N24" s="94">
        <f t="shared" si="73"/>
        <v>134361.11609674309</v>
      </c>
      <c r="O24" s="94">
        <f t="shared" si="73"/>
        <v>132972.83714293633</v>
      </c>
      <c r="P24" s="94">
        <f t="shared" si="73"/>
        <v>131607.86288467859</v>
      </c>
      <c r="Q24" s="94">
        <f t="shared" si="73"/>
        <v>130265.77552684037</v>
      </c>
      <c r="R24" s="94">
        <f t="shared" si="73"/>
        <v>129377.6838994119</v>
      </c>
      <c r="S24" s="94">
        <f t="shared" si="73"/>
        <v>128504.11467606619</v>
      </c>
      <c r="T24" s="94">
        <f t="shared" si="73"/>
        <v>127644.80461571706</v>
      </c>
      <c r="U24" s="94">
        <f t="shared" si="73"/>
        <v>126799.49536048713</v>
      </c>
      <c r="V24" s="94">
        <f t="shared" si="73"/>
        <v>125967.93334468718</v>
      </c>
      <c r="W24" s="94">
        <f t="shared" si="73"/>
        <v>125149.86970549355</v>
      </c>
      <c r="X24" s="94">
        <f t="shared" si="73"/>
        <v>124345.06019529184</v>
      </c>
      <c r="Y24" s="94">
        <f t="shared" si="73"/>
        <v>123553.26509565656</v>
      </c>
      <c r="Z24" s="94">
        <f t="shared" si="73"/>
        <v>122774.24913293548</v>
      </c>
      <c r="AA24" s="94">
        <f t="shared" si="73"/>
        <v>122007.78139540865</v>
      </c>
      <c r="AB24" s="94">
        <f t="shared" ref="AB24:AL24" si="74">AB41</f>
        <v>121253.63525199368</v>
      </c>
      <c r="AC24" s="94">
        <f t="shared" si="74"/>
        <v>121101.33522666806</v>
      </c>
      <c r="AD24" s="94">
        <f t="shared" si="74"/>
        <v>120953.17429906578</v>
      </c>
      <c r="AE24" s="94">
        <f t="shared" si="74"/>
        <v>120809.1241586969</v>
      </c>
      <c r="AF24" s="94">
        <f t="shared" si="74"/>
        <v>120669.15684357898</v>
      </c>
      <c r="AG24" s="94">
        <f t="shared" si="74"/>
        <v>120533.24473707864</v>
      </c>
      <c r="AH24" s="94">
        <f t="shared" si="74"/>
        <v>120401.36056478704</v>
      </c>
      <c r="AI24" s="94">
        <f t="shared" si="74"/>
        <v>120273.47739142794</v>
      </c>
      <c r="AJ24" s="94">
        <f t="shared" si="74"/>
        <v>120149.56861779792</v>
      </c>
      <c r="AK24" s="94">
        <f t="shared" si="74"/>
        <v>120029.60797773977</v>
      </c>
      <c r="AL24" s="94">
        <f t="shared" si="74"/>
        <v>119913.56953514685</v>
      </c>
    </row>
    <row r="25" spans="1:38" s="83" customFormat="1" hidden="1" x14ac:dyDescent="0.25">
      <c r="A25" s="98"/>
      <c r="B25" s="99" t="s">
        <v>31</v>
      </c>
      <c r="C25" s="100" t="s">
        <v>19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  <c r="L25" s="102">
        <v>0</v>
      </c>
      <c r="M25" s="102">
        <v>0</v>
      </c>
      <c r="N25" s="102">
        <v>0</v>
      </c>
      <c r="O25" s="102">
        <v>0</v>
      </c>
      <c r="P25" s="102">
        <v>0</v>
      </c>
      <c r="Q25" s="102">
        <v>0</v>
      </c>
      <c r="R25" s="102">
        <v>0</v>
      </c>
      <c r="S25" s="102">
        <v>0</v>
      </c>
      <c r="T25" s="102">
        <v>0</v>
      </c>
      <c r="U25" s="102">
        <v>0</v>
      </c>
      <c r="V25" s="102">
        <v>0</v>
      </c>
      <c r="W25" s="102">
        <v>0</v>
      </c>
      <c r="X25" s="102">
        <v>0</v>
      </c>
      <c r="Y25" s="102">
        <v>0</v>
      </c>
      <c r="Z25" s="102">
        <v>0</v>
      </c>
      <c r="AA25" s="102">
        <v>0</v>
      </c>
      <c r="AB25" s="102">
        <v>0</v>
      </c>
      <c r="AC25" s="102">
        <v>0</v>
      </c>
      <c r="AD25" s="102">
        <v>0</v>
      </c>
      <c r="AE25" s="102">
        <v>0</v>
      </c>
      <c r="AF25" s="102">
        <v>0</v>
      </c>
      <c r="AG25" s="102">
        <v>0</v>
      </c>
      <c r="AH25" s="102">
        <v>0</v>
      </c>
      <c r="AI25" s="102">
        <v>0</v>
      </c>
      <c r="AJ25" s="102">
        <v>0</v>
      </c>
      <c r="AK25" s="102">
        <v>0</v>
      </c>
      <c r="AL25" s="102">
        <v>0</v>
      </c>
    </row>
    <row r="26" spans="1:38" s="83" customFormat="1" hidden="1" x14ac:dyDescent="0.25">
      <c r="A26" s="98"/>
      <c r="B26" s="99"/>
      <c r="C26" s="100" t="s">
        <v>29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102">
        <v>0</v>
      </c>
      <c r="L26" s="102">
        <v>0</v>
      </c>
      <c r="M26" s="102">
        <v>0</v>
      </c>
      <c r="N26" s="102">
        <v>0</v>
      </c>
      <c r="O26" s="102">
        <v>0</v>
      </c>
      <c r="P26" s="102">
        <v>0</v>
      </c>
      <c r="Q26" s="102">
        <v>0</v>
      </c>
      <c r="R26" s="102">
        <v>0</v>
      </c>
      <c r="S26" s="102">
        <v>0</v>
      </c>
      <c r="T26" s="102">
        <v>0</v>
      </c>
      <c r="U26" s="102">
        <v>0</v>
      </c>
      <c r="V26" s="102">
        <v>0</v>
      </c>
      <c r="W26" s="102">
        <v>0</v>
      </c>
      <c r="X26" s="102">
        <v>0</v>
      </c>
      <c r="Y26" s="102">
        <v>0</v>
      </c>
      <c r="Z26" s="102">
        <v>0</v>
      </c>
      <c r="AA26" s="102">
        <v>0</v>
      </c>
      <c r="AB26" s="102">
        <v>0</v>
      </c>
      <c r="AC26" s="102">
        <v>0</v>
      </c>
      <c r="AD26" s="102">
        <v>0</v>
      </c>
      <c r="AE26" s="102">
        <v>0</v>
      </c>
      <c r="AF26" s="102">
        <v>0</v>
      </c>
      <c r="AG26" s="102">
        <v>0</v>
      </c>
      <c r="AH26" s="102">
        <v>0</v>
      </c>
      <c r="AI26" s="102">
        <v>0</v>
      </c>
      <c r="AJ26" s="102">
        <v>0</v>
      </c>
      <c r="AK26" s="102">
        <v>0</v>
      </c>
      <c r="AL26" s="102">
        <v>0</v>
      </c>
    </row>
    <row r="27" spans="1:38" s="83" customFormat="1" hidden="1" x14ac:dyDescent="0.25">
      <c r="A27" s="98"/>
      <c r="B27" s="99"/>
      <c r="C27" s="100" t="s">
        <v>15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  <c r="L27" s="102">
        <v>0</v>
      </c>
      <c r="M27" s="102">
        <v>0</v>
      </c>
      <c r="N27" s="102">
        <v>0</v>
      </c>
      <c r="O27" s="102">
        <v>0</v>
      </c>
      <c r="P27" s="102">
        <v>0</v>
      </c>
      <c r="Q27" s="102">
        <v>0</v>
      </c>
      <c r="R27" s="102">
        <v>0</v>
      </c>
      <c r="S27" s="102">
        <v>0</v>
      </c>
      <c r="T27" s="102">
        <v>0</v>
      </c>
      <c r="U27" s="102">
        <v>0</v>
      </c>
      <c r="V27" s="102">
        <v>0</v>
      </c>
      <c r="W27" s="102">
        <v>0</v>
      </c>
      <c r="X27" s="102">
        <v>0</v>
      </c>
      <c r="Y27" s="102">
        <v>0</v>
      </c>
      <c r="Z27" s="102">
        <v>0</v>
      </c>
      <c r="AA27" s="102">
        <v>0</v>
      </c>
      <c r="AB27" s="102">
        <v>0</v>
      </c>
      <c r="AC27" s="102">
        <v>0</v>
      </c>
      <c r="AD27" s="102">
        <v>0</v>
      </c>
      <c r="AE27" s="102">
        <v>0</v>
      </c>
      <c r="AF27" s="102">
        <v>0</v>
      </c>
      <c r="AG27" s="102">
        <v>0</v>
      </c>
      <c r="AH27" s="102">
        <v>0</v>
      </c>
      <c r="AI27" s="102">
        <v>0</v>
      </c>
      <c r="AJ27" s="102">
        <v>0</v>
      </c>
      <c r="AK27" s="102">
        <v>0</v>
      </c>
      <c r="AL27" s="102">
        <v>0</v>
      </c>
    </row>
    <row r="28" spans="1:38" s="83" customFormat="1" x14ac:dyDescent="0.25">
      <c r="A28" s="98"/>
      <c r="B28" s="97" t="s">
        <v>88</v>
      </c>
      <c r="C28" s="66" t="s">
        <v>19</v>
      </c>
      <c r="D28" s="102"/>
      <c r="E28" s="102"/>
      <c r="F28" s="102"/>
      <c r="G28" s="94">
        <f>G16+G40</f>
        <v>3471.3525384</v>
      </c>
      <c r="H28" s="94">
        <f t="shared" ref="H28:AA28" si="75">H16+H40</f>
        <v>3417.7653182855342</v>
      </c>
      <c r="I28" s="94">
        <f t="shared" si="75"/>
        <v>3366.884712599749</v>
      </c>
      <c r="J28" s="94">
        <f t="shared" si="75"/>
        <v>3317.4493959137194</v>
      </c>
      <c r="K28" s="94">
        <f t="shared" si="75"/>
        <v>3177.5544949110799</v>
      </c>
      <c r="L28" s="94">
        <f t="shared" si="75"/>
        <v>2971.6395528141516</v>
      </c>
      <c r="M28" s="94">
        <f t="shared" si="75"/>
        <v>2757.8969610378044</v>
      </c>
      <c r="N28" s="94">
        <f t="shared" si="75"/>
        <v>2735.4384248893084</v>
      </c>
      <c r="O28" s="94">
        <f t="shared" si="75"/>
        <v>2713.3573270748639</v>
      </c>
      <c r="P28" s="94">
        <f t="shared" si="75"/>
        <v>2691.6468991899337</v>
      </c>
      <c r="Q28" s="94">
        <f t="shared" si="75"/>
        <v>2670.3004960461749</v>
      </c>
      <c r="R28" s="94">
        <f t="shared" si="75"/>
        <v>2656.1750653899908</v>
      </c>
      <c r="S28" s="94">
        <f t="shared" si="75"/>
        <v>2642.2806190213469</v>
      </c>
      <c r="T28" s="94">
        <f t="shared" si="75"/>
        <v>2628.612969991967</v>
      </c>
      <c r="U28" s="94">
        <f t="shared" si="75"/>
        <v>2615.1680090228438</v>
      </c>
      <c r="V28" s="94">
        <f t="shared" si="75"/>
        <v>2601.9417030565205</v>
      </c>
      <c r="W28" s="94">
        <f t="shared" si="75"/>
        <v>2588.9300938363831</v>
      </c>
      <c r="X28" s="94">
        <f t="shared" si="75"/>
        <v>2576.1292965124521</v>
      </c>
      <c r="Y28" s="94">
        <f t="shared" si="75"/>
        <v>2563.5354982731988</v>
      </c>
      <c r="Z28" s="94">
        <f t="shared" si="75"/>
        <v>2551.1449570028799</v>
      </c>
      <c r="AA28" s="94">
        <f t="shared" si="75"/>
        <v>2538.9539999639233</v>
      </c>
      <c r="AB28" s="94">
        <f t="shared" ref="AB28:AL28" si="76">AB16+AB40</f>
        <v>2526.9590225039033</v>
      </c>
      <c r="AC28" s="94">
        <f t="shared" si="76"/>
        <v>2524.5366334392734</v>
      </c>
      <c r="AD28" s="94">
        <f t="shared" si="76"/>
        <v>2522.1800782774353</v>
      </c>
      <c r="AE28" s="94">
        <f t="shared" si="76"/>
        <v>2519.8889067294203</v>
      </c>
      <c r="AF28" s="94">
        <f t="shared" si="76"/>
        <v>2517.6626740494039</v>
      </c>
      <c r="AG28" s="94">
        <f t="shared" si="76"/>
        <v>2515.5009409844661</v>
      </c>
      <c r="AH28" s="94">
        <f t="shared" si="76"/>
        <v>2513.4032737248981</v>
      </c>
      <c r="AI28" s="94">
        <f t="shared" si="76"/>
        <v>2511.3692438550215</v>
      </c>
      <c r="AJ28" s="94">
        <f t="shared" si="76"/>
        <v>2509.3984283045229</v>
      </c>
      <c r="AK28" s="94">
        <f t="shared" si="76"/>
        <v>2507.4904093003133</v>
      </c>
      <c r="AL28" s="94">
        <f t="shared" si="76"/>
        <v>2505.6447743188824</v>
      </c>
    </row>
    <row r="29" spans="1:38" s="83" customFormat="1" x14ac:dyDescent="0.25">
      <c r="A29" s="98"/>
      <c r="B29" s="97"/>
      <c r="C29" s="66" t="s">
        <v>18</v>
      </c>
      <c r="D29" s="102"/>
      <c r="E29" s="102"/>
      <c r="F29" s="102"/>
      <c r="G29" s="94">
        <f>G46</f>
        <v>964.26459399999999</v>
      </c>
      <c r="H29" s="94">
        <f t="shared" ref="H29:AA29" si="77">H46</f>
        <v>948.70024273363606</v>
      </c>
      <c r="I29" s="94">
        <f t="shared" si="77"/>
        <v>934.5667411542513</v>
      </c>
      <c r="J29" s="94">
        <f t="shared" si="77"/>
        <v>920.83470874146531</v>
      </c>
      <c r="K29" s="94">
        <f t="shared" si="77"/>
        <v>881.97501401850991</v>
      </c>
      <c r="L29" s="94">
        <f t="shared" si="77"/>
        <v>824.77641899158527</v>
      </c>
      <c r="M29" s="94">
        <f t="shared" si="77"/>
        <v>765.40347683148877</v>
      </c>
      <c r="N29" s="94">
        <f t="shared" si="77"/>
        <v>759.16499456801762</v>
      </c>
      <c r="O29" s="94">
        <f t="shared" si="77"/>
        <v>753.03135628622761</v>
      </c>
      <c r="P29" s="94">
        <f t="shared" si="77"/>
        <v>747.00068187374688</v>
      </c>
      <c r="Q29" s="94">
        <f t="shared" si="77"/>
        <v>741.07112544492509</v>
      </c>
      <c r="R29" s="94">
        <f t="shared" si="77"/>
        <v>737.14739470709605</v>
      </c>
      <c r="S29" s="94">
        <f t="shared" si="77"/>
        <v>733.28782627136184</v>
      </c>
      <c r="T29" s="94">
        <f t="shared" si="77"/>
        <v>729.49125709653401</v>
      </c>
      <c r="U29" s="94">
        <f t="shared" si="77"/>
        <v>725.75654571622204</v>
      </c>
      <c r="V29" s="94">
        <f t="shared" si="77"/>
        <v>722.08257183668786</v>
      </c>
      <c r="W29" s="94">
        <f t="shared" si="77"/>
        <v>718.46823594220518</v>
      </c>
      <c r="X29" s="94">
        <f t="shared" si="77"/>
        <v>714.91245890777998</v>
      </c>
      <c r="Y29" s="94">
        <f t="shared" si="77"/>
        <v>711.41418161909849</v>
      </c>
      <c r="Z29" s="94">
        <f t="shared" si="77"/>
        <v>707.97236459956537</v>
      </c>
      <c r="AA29" s="94">
        <f t="shared" si="77"/>
        <v>704.58598764429962</v>
      </c>
      <c r="AB29" s="94">
        <f t="shared" ref="AB29:AL29" si="78">AB46</f>
        <v>701.2540494609608</v>
      </c>
      <c r="AC29" s="94">
        <f t="shared" si="78"/>
        <v>700.58116360967472</v>
      </c>
      <c r="AD29" s="94">
        <f t="shared" si="78"/>
        <v>699.92656495360859</v>
      </c>
      <c r="AE29" s="94">
        <f t="shared" si="78"/>
        <v>699.29012841249335</v>
      </c>
      <c r="AF29" s="94">
        <f t="shared" si="78"/>
        <v>698.67173044582205</v>
      </c>
      <c r="AG29" s="94">
        <f t="shared" si="78"/>
        <v>698.07124903889485</v>
      </c>
      <c r="AH29" s="94">
        <f t="shared" si="78"/>
        <v>697.48856368901488</v>
      </c>
      <c r="AI29" s="94">
        <f t="shared" si="78"/>
        <v>696.92355539182699</v>
      </c>
      <c r="AJ29" s="94">
        <f t="shared" si="78"/>
        <v>696.37610662779957</v>
      </c>
      <c r="AK29" s="94">
        <f t="shared" si="78"/>
        <v>695.84610134885247</v>
      </c>
      <c r="AL29" s="94">
        <f t="shared" si="78"/>
        <v>695.33342496512159</v>
      </c>
    </row>
    <row r="30" spans="1:38" s="83" customFormat="1" x14ac:dyDescent="0.25">
      <c r="A30" s="98"/>
      <c r="B30" s="107" t="s">
        <v>39</v>
      </c>
      <c r="C30" s="98"/>
      <c r="D30" s="98"/>
      <c r="E30" s="98"/>
      <c r="F30" s="102"/>
      <c r="G30" s="100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</row>
    <row r="31" spans="1:38" s="95" customFormat="1" x14ac:dyDescent="0.25">
      <c r="A31" s="92"/>
      <c r="B31" s="93" t="s">
        <v>21</v>
      </c>
      <c r="C31" s="66" t="s">
        <v>18</v>
      </c>
      <c r="D31" s="94">
        <v>108.9</v>
      </c>
      <c r="E31" s="94">
        <v>126.1</v>
      </c>
      <c r="F31" s="94">
        <v>222.25</v>
      </c>
      <c r="G31" s="94">
        <f>218612/1000</f>
        <v>218.61199999999999</v>
      </c>
      <c r="H31" s="94">
        <f>H32*0.35</f>
        <v>215.50385528081881</v>
      </c>
      <c r="I31" s="94">
        <f t="shared" ref="I31:AL31" si="79">I32*0.35</f>
        <v>212.29333214423929</v>
      </c>
      <c r="J31" s="94">
        <f t="shared" si="79"/>
        <v>209.17400551977312</v>
      </c>
      <c r="K31" s="94">
        <f t="shared" si="79"/>
        <v>200.34675571987626</v>
      </c>
      <c r="L31" s="94">
        <f t="shared" si="79"/>
        <v>187.35369722815477</v>
      </c>
      <c r="M31" s="94">
        <f t="shared" si="79"/>
        <v>173.86672066957667</v>
      </c>
      <c r="N31" s="94">
        <f t="shared" si="79"/>
        <v>172.44960605494859</v>
      </c>
      <c r="O31" s="94">
        <f t="shared" si="79"/>
        <v>171.05630747961044</v>
      </c>
      <c r="P31" s="94">
        <f t="shared" si="79"/>
        <v>169.68639786296674</v>
      </c>
      <c r="Q31" s="94">
        <f t="shared" si="79"/>
        <v>168.33945789925997</v>
      </c>
      <c r="R31" s="94">
        <f t="shared" si="79"/>
        <v>167.44815518529683</v>
      </c>
      <c r="S31" s="94">
        <f t="shared" si="79"/>
        <v>166.5714273842959</v>
      </c>
      <c r="T31" s="94">
        <f t="shared" si="79"/>
        <v>165.70901030336614</v>
      </c>
      <c r="U31" s="94">
        <f t="shared" si="79"/>
        <v>164.86064465048165</v>
      </c>
      <c r="V31" s="94">
        <f t="shared" si="79"/>
        <v>164.0260759431319</v>
      </c>
      <c r="W31" s="94">
        <f t="shared" si="79"/>
        <v>163.20505441867596</v>
      </c>
      <c r="X31" s="94">
        <f t="shared" si="79"/>
        <v>162.39733494636971</v>
      </c>
      <c r="Y31" s="94">
        <f t="shared" si="79"/>
        <v>161.60267694103402</v>
      </c>
      <c r="Z31" s="94">
        <f t="shared" si="79"/>
        <v>160.82084427833405</v>
      </c>
      <c r="AA31" s="94">
        <f t="shared" si="79"/>
        <v>160.0516052116389</v>
      </c>
      <c r="AB31" s="94">
        <f t="shared" si="79"/>
        <v>159.29473229043268</v>
      </c>
      <c r="AC31" s="94">
        <f t="shared" si="79"/>
        <v>159.1418815915668</v>
      </c>
      <c r="AD31" s="94">
        <f t="shared" si="79"/>
        <v>158.99318495622344</v>
      </c>
      <c r="AE31" s="94">
        <f t="shared" si="79"/>
        <v>158.84861397155004</v>
      </c>
      <c r="AF31" s="94">
        <f t="shared" si="79"/>
        <v>158.70814057446151</v>
      </c>
      <c r="AG31" s="94">
        <f t="shared" si="79"/>
        <v>158.57173704847065</v>
      </c>
      <c r="AH31" s="94">
        <f t="shared" si="79"/>
        <v>158.43937602055215</v>
      </c>
      <c r="AI31" s="94">
        <f t="shared" si="79"/>
        <v>158.31103045803934</v>
      </c>
      <c r="AJ31" s="94">
        <f t="shared" si="79"/>
        <v>158.1866736655538</v>
      </c>
      <c r="AK31" s="94">
        <f t="shared" si="79"/>
        <v>158.06627928196727</v>
      </c>
      <c r="AL31" s="94">
        <f t="shared" si="79"/>
        <v>157.94982127739559</v>
      </c>
    </row>
    <row r="32" spans="1:38" s="95" customFormat="1" x14ac:dyDescent="0.25">
      <c r="A32" s="92"/>
      <c r="B32" s="93" t="s">
        <v>22</v>
      </c>
      <c r="C32" s="66" t="s">
        <v>15</v>
      </c>
      <c r="D32" s="94">
        <f t="shared" ref="D32:AA32" si="80">D5-D49</f>
        <v>677.84591777762478</v>
      </c>
      <c r="E32" s="94">
        <f t="shared" si="80"/>
        <v>642.17856857762479</v>
      </c>
      <c r="F32" s="94">
        <f t="shared" si="80"/>
        <v>698.0137333776247</v>
      </c>
      <c r="G32" s="94">
        <f t="shared" si="80"/>
        <v>627.36685919999991</v>
      </c>
      <c r="H32" s="94">
        <f t="shared" si="80"/>
        <v>615.72530080233946</v>
      </c>
      <c r="I32" s="94">
        <f t="shared" si="80"/>
        <v>606.55237755496944</v>
      </c>
      <c r="J32" s="94">
        <f t="shared" si="80"/>
        <v>597.64001577078034</v>
      </c>
      <c r="K32" s="94">
        <f t="shared" si="80"/>
        <v>572.41930205678932</v>
      </c>
      <c r="L32" s="94">
        <f t="shared" si="80"/>
        <v>535.29627779472798</v>
      </c>
      <c r="M32" s="94">
        <f t="shared" si="80"/>
        <v>496.76205905593338</v>
      </c>
      <c r="N32" s="94">
        <f t="shared" si="80"/>
        <v>492.71316015699603</v>
      </c>
      <c r="O32" s="94">
        <f t="shared" si="80"/>
        <v>488.7323070846013</v>
      </c>
      <c r="P32" s="94">
        <f t="shared" si="80"/>
        <v>484.81827960847642</v>
      </c>
      <c r="Q32" s="94">
        <f t="shared" si="80"/>
        <v>480.96987971217135</v>
      </c>
      <c r="R32" s="94">
        <f t="shared" si="80"/>
        <v>478.42330052941952</v>
      </c>
      <c r="S32" s="94">
        <f t="shared" si="80"/>
        <v>475.91836395513116</v>
      </c>
      <c r="T32" s="94">
        <f t="shared" si="80"/>
        <v>473.45431515247469</v>
      </c>
      <c r="U32" s="94">
        <f t="shared" si="80"/>
        <v>471.03041328709043</v>
      </c>
      <c r="V32" s="94">
        <f t="shared" si="80"/>
        <v>468.64593126609117</v>
      </c>
      <c r="W32" s="94">
        <f t="shared" si="80"/>
        <v>466.30015548193131</v>
      </c>
      <c r="X32" s="94">
        <f t="shared" si="80"/>
        <v>463.99238556105632</v>
      </c>
      <c r="Y32" s="94">
        <f t="shared" si="80"/>
        <v>461.7219341172401</v>
      </c>
      <c r="Z32" s="94">
        <f t="shared" si="80"/>
        <v>459.4881265095259</v>
      </c>
      <c r="AA32" s="94">
        <f t="shared" si="80"/>
        <v>457.29030060468261</v>
      </c>
      <c r="AB32" s="94">
        <f t="shared" ref="AB32:AL32" si="81">AB5-AB49</f>
        <v>455.1278065440934</v>
      </c>
      <c r="AC32" s="94">
        <f t="shared" si="81"/>
        <v>454.69109026161948</v>
      </c>
      <c r="AD32" s="94">
        <f t="shared" si="81"/>
        <v>454.26624273206704</v>
      </c>
      <c r="AE32" s="94">
        <f t="shared" si="81"/>
        <v>453.85318277585731</v>
      </c>
      <c r="AF32" s="94">
        <f t="shared" si="81"/>
        <v>453.45183021274721</v>
      </c>
      <c r="AG32" s="94">
        <f t="shared" si="81"/>
        <v>453.06210585277336</v>
      </c>
      <c r="AH32" s="94">
        <f t="shared" si="81"/>
        <v>452.68393148729189</v>
      </c>
      <c r="AI32" s="94">
        <f t="shared" si="81"/>
        <v>452.31722988011245</v>
      </c>
      <c r="AJ32" s="94">
        <f t="shared" si="81"/>
        <v>451.96192475872516</v>
      </c>
      <c r="AK32" s="94">
        <f t="shared" si="81"/>
        <v>451.61794080562078</v>
      </c>
      <c r="AL32" s="94">
        <f t="shared" si="81"/>
        <v>451.28520364970171</v>
      </c>
    </row>
    <row r="33" spans="1:38" s="27" customFormat="1" x14ac:dyDescent="0.25">
      <c r="A33" s="23"/>
      <c r="B33" s="24" t="s">
        <v>79</v>
      </c>
      <c r="C33" s="25" t="s">
        <v>18</v>
      </c>
      <c r="D33" s="26">
        <f>(((D32*1000/4.1848)*1.162)/1000)+D31</f>
        <v>297.11854245306824</v>
      </c>
      <c r="E33" s="26">
        <f>(((E32*1000/4.1848)*1.162)/1000)+E31</f>
        <v>304.41473348480213</v>
      </c>
      <c r="F33" s="26">
        <f>(((F32*1000/4.1848)*1.162)/1000)+F31</f>
        <v>416.0685715410055</v>
      </c>
      <c r="G33" s="26">
        <f>(((G32*1000/4.1868)*1.162)/1000)+G31</f>
        <v>392.730728</v>
      </c>
      <c r="H33" s="28">
        <f t="shared" ref="H33:AA33" si="82">(((H32*1000/4.1868)*1.162)/1000)+H31</f>
        <v>386.39159759770007</v>
      </c>
      <c r="I33" s="26">
        <f t="shared" si="82"/>
        <v>380.63523114081767</v>
      </c>
      <c r="J33" s="26">
        <f t="shared" si="82"/>
        <v>375.04237714622928</v>
      </c>
      <c r="K33" s="26">
        <f t="shared" si="82"/>
        <v>359.2153974008711</v>
      </c>
      <c r="L33" s="26">
        <f t="shared" si="82"/>
        <v>335.91925440725902</v>
      </c>
      <c r="M33" s="26">
        <f t="shared" si="82"/>
        <v>311.73753193904133</v>
      </c>
      <c r="N33" s="26">
        <f t="shared" si="82"/>
        <v>309.1966902487074</v>
      </c>
      <c r="O33" s="26">
        <f t="shared" si="82"/>
        <v>306.69854996368099</v>
      </c>
      <c r="P33" s="26">
        <f t="shared" si="82"/>
        <v>304.24234534196017</v>
      </c>
      <c r="Q33" s="26">
        <f t="shared" si="82"/>
        <v>301.82732458158137</v>
      </c>
      <c r="R33" s="26">
        <f t="shared" si="82"/>
        <v>300.22924700128647</v>
      </c>
      <c r="S33" s="26">
        <f t="shared" si="82"/>
        <v>298.65730177902753</v>
      </c>
      <c r="T33" s="26">
        <f t="shared" si="82"/>
        <v>297.11101522530544</v>
      </c>
      <c r="U33" s="26">
        <f t="shared" si="82"/>
        <v>295.58992243771752</v>
      </c>
      <c r="V33" s="26">
        <f t="shared" si="82"/>
        <v>294.09356713716977</v>
      </c>
      <c r="W33" s="26">
        <f t="shared" si="82"/>
        <v>292.62150150714547</v>
      </c>
      <c r="X33" s="26">
        <f t="shared" si="82"/>
        <v>291.17328603597213</v>
      </c>
      <c r="Y33" s="26">
        <f t="shared" si="82"/>
        <v>289.74848936203165</v>
      </c>
      <c r="Z33" s="26">
        <f t="shared" si="82"/>
        <v>288.34668812185873</v>
      </c>
      <c r="AA33" s="26">
        <f t="shared" si="82"/>
        <v>286.96746680107265</v>
      </c>
      <c r="AB33" s="26">
        <f t="shared" ref="AB33:AL33" si="83">(((AB32*1000/4.1868)*1.162)/1000)+AB31</f>
        <v>285.61041758809114</v>
      </c>
      <c r="AC33" s="26">
        <f t="shared" si="83"/>
        <v>285.33636111865235</v>
      </c>
      <c r="AD33" s="26">
        <f t="shared" si="83"/>
        <v>285.06975275374469</v>
      </c>
      <c r="AE33" s="26">
        <f t="shared" si="83"/>
        <v>284.81054155002192</v>
      </c>
      <c r="AF33" s="26">
        <f t="shared" si="83"/>
        <v>284.55867719126007</v>
      </c>
      <c r="AG33" s="26">
        <f t="shared" si="83"/>
        <v>284.31410998267398</v>
      </c>
      <c r="AH33" s="26">
        <f t="shared" si="83"/>
        <v>284.07679084529491</v>
      </c>
      <c r="AI33" s="26">
        <f t="shared" si="83"/>
        <v>283.84667131040646</v>
      </c>
      <c r="AJ33" s="26">
        <f t="shared" si="83"/>
        <v>283.62370351403916</v>
      </c>
      <c r="AK33" s="26">
        <f t="shared" si="83"/>
        <v>283.40784019152386</v>
      </c>
      <c r="AL33" s="26">
        <f t="shared" si="83"/>
        <v>283.19903467210122</v>
      </c>
    </row>
    <row r="34" spans="1:38" s="95" customFormat="1" x14ac:dyDescent="0.25">
      <c r="A34" s="92"/>
      <c r="B34" s="93" t="s">
        <v>58</v>
      </c>
      <c r="C34" s="66" t="s">
        <v>19</v>
      </c>
      <c r="D34" s="94">
        <f>70*8.24*4.1848/1000</f>
        <v>2.41379264</v>
      </c>
      <c r="E34" s="94">
        <v>0</v>
      </c>
      <c r="F34" s="94">
        <v>0</v>
      </c>
      <c r="G34" s="94">
        <v>0</v>
      </c>
      <c r="H34" s="94">
        <v>612</v>
      </c>
      <c r="I34" s="94">
        <v>612</v>
      </c>
      <c r="J34" s="94">
        <v>612</v>
      </c>
      <c r="K34" s="94">
        <f>612-3.53</f>
        <v>608.47</v>
      </c>
      <c r="L34" s="94">
        <f>K34-6.11</f>
        <v>602.36</v>
      </c>
      <c r="M34" s="94">
        <f>L34-6.43</f>
        <v>595.93000000000006</v>
      </c>
      <c r="N34" s="94">
        <f>M34</f>
        <v>595.93000000000006</v>
      </c>
      <c r="O34" s="94">
        <f t="shared" ref="O34:AA34" si="84">N34</f>
        <v>595.93000000000006</v>
      </c>
      <c r="P34" s="94">
        <f t="shared" si="84"/>
        <v>595.93000000000006</v>
      </c>
      <c r="Q34" s="94">
        <f t="shared" si="84"/>
        <v>595.93000000000006</v>
      </c>
      <c r="R34" s="94">
        <f t="shared" si="84"/>
        <v>595.93000000000006</v>
      </c>
      <c r="S34" s="94">
        <f t="shared" si="84"/>
        <v>595.93000000000006</v>
      </c>
      <c r="T34" s="94">
        <f t="shared" si="84"/>
        <v>595.93000000000006</v>
      </c>
      <c r="U34" s="94">
        <f t="shared" si="84"/>
        <v>595.93000000000006</v>
      </c>
      <c r="V34" s="94">
        <f t="shared" si="84"/>
        <v>595.93000000000006</v>
      </c>
      <c r="W34" s="94">
        <f t="shared" si="84"/>
        <v>595.93000000000006</v>
      </c>
      <c r="X34" s="94">
        <f t="shared" si="84"/>
        <v>595.93000000000006</v>
      </c>
      <c r="Y34" s="94">
        <f t="shared" si="84"/>
        <v>595.93000000000006</v>
      </c>
      <c r="Z34" s="94">
        <f t="shared" si="84"/>
        <v>595.93000000000006</v>
      </c>
      <c r="AA34" s="94">
        <f t="shared" si="84"/>
        <v>595.93000000000006</v>
      </c>
      <c r="AB34" s="94">
        <f t="shared" ref="AB34" si="85">AA34</f>
        <v>595.93000000000006</v>
      </c>
      <c r="AC34" s="94">
        <f t="shared" ref="AC34" si="86">AB34</f>
        <v>595.93000000000006</v>
      </c>
      <c r="AD34" s="94">
        <f t="shared" ref="AD34" si="87">AC34</f>
        <v>595.93000000000006</v>
      </c>
      <c r="AE34" s="94">
        <f t="shared" ref="AE34" si="88">AD34</f>
        <v>595.93000000000006</v>
      </c>
      <c r="AF34" s="94">
        <f t="shared" ref="AF34" si="89">AE34</f>
        <v>595.93000000000006</v>
      </c>
      <c r="AG34" s="94">
        <f t="shared" ref="AG34" si="90">AF34</f>
        <v>595.93000000000006</v>
      </c>
      <c r="AH34" s="94">
        <f t="shared" ref="AH34" si="91">AG34</f>
        <v>595.93000000000006</v>
      </c>
      <c r="AI34" s="94">
        <f t="shared" ref="AI34" si="92">AH34</f>
        <v>595.93000000000006</v>
      </c>
      <c r="AJ34" s="94">
        <f t="shared" ref="AJ34" si="93">AI34</f>
        <v>595.93000000000006</v>
      </c>
      <c r="AK34" s="94">
        <f t="shared" ref="AK34" si="94">AJ34</f>
        <v>595.93000000000006</v>
      </c>
      <c r="AL34" s="94">
        <f t="shared" ref="AL34" si="95">AK34</f>
        <v>595.93000000000006</v>
      </c>
    </row>
    <row r="35" spans="1:38" s="9" customFormat="1" x14ac:dyDescent="0.25">
      <c r="A35" s="6"/>
      <c r="B35" s="7"/>
      <c r="C35" s="3" t="s">
        <v>20</v>
      </c>
      <c r="D35" s="8">
        <v>70.11</v>
      </c>
      <c r="E35" s="8">
        <v>0</v>
      </c>
      <c r="F35" s="8">
        <v>0</v>
      </c>
      <c r="G35" s="8">
        <v>0</v>
      </c>
      <c r="H35" s="26">
        <f>(H34*1000/4.1868)/8.24</f>
        <v>17739.525332042173</v>
      </c>
      <c r="I35" s="26">
        <f t="shared" ref="I35:AA35" si="96">(I34*1000/4.1868)/8.24</f>
        <v>17739.525332042173</v>
      </c>
      <c r="J35" s="26">
        <f t="shared" si="96"/>
        <v>17739.525332042173</v>
      </c>
      <c r="K35" s="26">
        <f t="shared" si="96"/>
        <v>17637.204213705398</v>
      </c>
      <c r="L35" s="26">
        <f t="shared" si="96"/>
        <v>17460.098821910007</v>
      </c>
      <c r="M35" s="26">
        <f t="shared" si="96"/>
        <v>17273.717861313555</v>
      </c>
      <c r="N35" s="26">
        <f t="shared" si="96"/>
        <v>17273.717861313555</v>
      </c>
      <c r="O35" s="26">
        <f t="shared" si="96"/>
        <v>17273.717861313555</v>
      </c>
      <c r="P35" s="26">
        <f t="shared" si="96"/>
        <v>17273.717861313555</v>
      </c>
      <c r="Q35" s="26">
        <f t="shared" si="96"/>
        <v>17273.717861313555</v>
      </c>
      <c r="R35" s="26">
        <f t="shared" si="96"/>
        <v>17273.717861313555</v>
      </c>
      <c r="S35" s="26">
        <f t="shared" si="96"/>
        <v>17273.717861313555</v>
      </c>
      <c r="T35" s="26">
        <f t="shared" si="96"/>
        <v>17273.717861313555</v>
      </c>
      <c r="U35" s="26">
        <f t="shared" si="96"/>
        <v>17273.717861313555</v>
      </c>
      <c r="V35" s="26">
        <f t="shared" si="96"/>
        <v>17273.717861313555</v>
      </c>
      <c r="W35" s="26">
        <f t="shared" si="96"/>
        <v>17273.717861313555</v>
      </c>
      <c r="X35" s="26">
        <f t="shared" si="96"/>
        <v>17273.717861313555</v>
      </c>
      <c r="Y35" s="26">
        <f t="shared" si="96"/>
        <v>17273.717861313555</v>
      </c>
      <c r="Z35" s="26">
        <f t="shared" si="96"/>
        <v>17273.717861313555</v>
      </c>
      <c r="AA35" s="26">
        <f t="shared" si="96"/>
        <v>17273.717861313555</v>
      </c>
      <c r="AB35" s="26">
        <f t="shared" ref="AB35:AL35" si="97">(AB34*1000/4.1868)/8.24</f>
        <v>17273.717861313555</v>
      </c>
      <c r="AC35" s="26">
        <f t="shared" si="97"/>
        <v>17273.717861313555</v>
      </c>
      <c r="AD35" s="26">
        <f t="shared" si="97"/>
        <v>17273.717861313555</v>
      </c>
      <c r="AE35" s="26">
        <f t="shared" si="97"/>
        <v>17273.717861313555</v>
      </c>
      <c r="AF35" s="26">
        <f t="shared" si="97"/>
        <v>17273.717861313555</v>
      </c>
      <c r="AG35" s="26">
        <f t="shared" si="97"/>
        <v>17273.717861313555</v>
      </c>
      <c r="AH35" s="26">
        <f t="shared" si="97"/>
        <v>17273.717861313555</v>
      </c>
      <c r="AI35" s="26">
        <f t="shared" si="97"/>
        <v>17273.717861313555</v>
      </c>
      <c r="AJ35" s="26">
        <f t="shared" si="97"/>
        <v>17273.717861313555</v>
      </c>
      <c r="AK35" s="26">
        <f t="shared" si="97"/>
        <v>17273.717861313555</v>
      </c>
      <c r="AL35" s="26">
        <f t="shared" si="97"/>
        <v>17273.717861313555</v>
      </c>
    </row>
    <row r="36" spans="1:38" ht="30" hidden="1" x14ac:dyDescent="0.25">
      <c r="A36" s="10"/>
      <c r="B36" s="11" t="s">
        <v>40</v>
      </c>
      <c r="C36" s="12" t="s">
        <v>15</v>
      </c>
      <c r="D36" s="13">
        <f t="shared" ref="D36:K36" si="98">(D31*1000/1.162)*4.1868/1000/0.35</f>
        <v>1121.0782394885666</v>
      </c>
      <c r="E36" s="13">
        <f t="shared" si="98"/>
        <v>1298.1447750184411</v>
      </c>
      <c r="F36" s="13">
        <f t="shared" si="98"/>
        <v>2287.9672977624787</v>
      </c>
      <c r="G36" s="13">
        <f t="shared" si="98"/>
        <v>2250.5156665847067</v>
      </c>
      <c r="H36" s="13">
        <f t="shared" si="98"/>
        <v>2218.5186655759344</v>
      </c>
      <c r="I36" s="13">
        <f t="shared" si="98"/>
        <v>2185.4677231903152</v>
      </c>
      <c r="J36" s="13">
        <f t="shared" si="98"/>
        <v>2153.3556093193656</v>
      </c>
      <c r="K36" s="13">
        <f t="shared" si="98"/>
        <v>2062.4829034865452</v>
      </c>
      <c r="L36" s="13">
        <f t="shared" ref="L36:AA36" si="99">((L31*1000/1.162)*4.1868/1000)/0.35</f>
        <v>1928.7250050524674</v>
      </c>
      <c r="M36" s="22">
        <f t="shared" si="99"/>
        <v>1789.8824344710688</v>
      </c>
      <c r="N36" s="13">
        <f t="shared" si="99"/>
        <v>1775.2938545140369</v>
      </c>
      <c r="O36" s="13">
        <f t="shared" si="99"/>
        <v>1760.9504503457908</v>
      </c>
      <c r="P36" s="13">
        <f t="shared" si="99"/>
        <v>1746.8478253569442</v>
      </c>
      <c r="Q36" s="13">
        <f t="shared" si="99"/>
        <v>1732.9816629766945</v>
      </c>
      <c r="R36" s="13">
        <f t="shared" si="99"/>
        <v>1723.8060883447283</v>
      </c>
      <c r="S36" s="13">
        <f t="shared" si="99"/>
        <v>1714.7805561164746</v>
      </c>
      <c r="T36" s="13">
        <f t="shared" si="99"/>
        <v>1705.9023465407756</v>
      </c>
      <c r="U36" s="13">
        <f t="shared" si="99"/>
        <v>1697.1687903187526</v>
      </c>
      <c r="V36" s="13">
        <f t="shared" si="99"/>
        <v>1688.5772676633997</v>
      </c>
      <c r="W36" s="13">
        <f t="shared" si="99"/>
        <v>1680.1252073767212</v>
      </c>
      <c r="X36" s="13">
        <f t="shared" ref="X36:Z36" si="100">((X31*1000/1.162)*4.1868/1000)/0.35</f>
        <v>1671.8100859440888</v>
      </c>
      <c r="Y36" s="13">
        <f t="shared" si="100"/>
        <v>1663.6294266454909</v>
      </c>
      <c r="Z36" s="13">
        <f t="shared" si="100"/>
        <v>1655.5807986833761</v>
      </c>
      <c r="AA36" s="13">
        <f t="shared" si="99"/>
        <v>1647.6618163267515</v>
      </c>
      <c r="AB36" s="13">
        <f t="shared" ref="AB36:AL36" si="101">((AB31*1000/1.162)*4.1868/1000)/0.35</f>
        <v>1639.8701380712653</v>
      </c>
      <c r="AC36" s="13">
        <f t="shared" si="101"/>
        <v>1638.2966064607131</v>
      </c>
      <c r="AD36" s="13">
        <f t="shared" si="101"/>
        <v>1636.7658391313412</v>
      </c>
      <c r="AE36" s="13">
        <f t="shared" si="101"/>
        <v>1635.2775435851629</v>
      </c>
      <c r="AF36" s="13">
        <f t="shared" si="101"/>
        <v>1633.8314309248967</v>
      </c>
      <c r="AG36" s="13">
        <f t="shared" si="101"/>
        <v>1632.427215821335</v>
      </c>
      <c r="AH36" s="13">
        <f t="shared" si="101"/>
        <v>1631.0646164810619</v>
      </c>
      <c r="AI36" s="13">
        <f t="shared" si="101"/>
        <v>1629.7433546145048</v>
      </c>
      <c r="AJ36" s="13">
        <f t="shared" si="101"/>
        <v>1628.4631554043294</v>
      </c>
      <c r="AK36" s="13">
        <f t="shared" si="101"/>
        <v>1627.2237474741592</v>
      </c>
      <c r="AL36" s="13">
        <f t="shared" si="101"/>
        <v>1626.0248628576344</v>
      </c>
    </row>
    <row r="37" spans="1:38" hidden="1" x14ac:dyDescent="0.25">
      <c r="A37" s="10"/>
      <c r="B37" s="11"/>
      <c r="C37" s="12" t="s">
        <v>20</v>
      </c>
      <c r="D37" s="13">
        <f>D36*1000/4.1868/8.392</f>
        <v>31907.166027195104</v>
      </c>
      <c r="E37" s="13">
        <f t="shared" ref="E37:K37" si="102">E36*1000/4.1868/8.392</f>
        <v>36946.681689892583</v>
      </c>
      <c r="F37" s="13">
        <f t="shared" si="102"/>
        <v>65118.16023456485</v>
      </c>
      <c r="G37" s="13">
        <f t="shared" si="102"/>
        <v>64052.244072885012</v>
      </c>
      <c r="H37" s="13">
        <f t="shared" si="102"/>
        <v>63141.572910428971</v>
      </c>
      <c r="I37" s="13">
        <f t="shared" si="102"/>
        <v>62200.905373670517</v>
      </c>
      <c r="J37" s="13">
        <f t="shared" si="102"/>
        <v>61286.957967794537</v>
      </c>
      <c r="K37" s="13">
        <f t="shared" si="102"/>
        <v>58700.617059357137</v>
      </c>
      <c r="L37" s="13">
        <f t="shared" ref="L37:AA37" si="103">L35-L39</f>
        <v>54730.315161567632</v>
      </c>
      <c r="M37" s="22">
        <f t="shared" si="103"/>
        <v>50823.204889763438</v>
      </c>
      <c r="N37" s="13">
        <f t="shared" si="103"/>
        <v>50413.27283560353</v>
      </c>
      <c r="O37" s="13">
        <f t="shared" si="103"/>
        <v>50010.230102749971</v>
      </c>
      <c r="P37" s="13">
        <f t="shared" si="103"/>
        <v>49613.953148601446</v>
      </c>
      <c r="Q37" s="13">
        <f t="shared" si="103"/>
        <v>49224.320679602242</v>
      </c>
      <c r="R37" s="13">
        <f t="shared" si="103"/>
        <v>48966.491461949961</v>
      </c>
      <c r="S37" s="13">
        <f t="shared" si="103"/>
        <v>48712.878363409065</v>
      </c>
      <c r="T37" s="13">
        <f t="shared" si="103"/>
        <v>48463.404960284992</v>
      </c>
      <c r="U37" s="13">
        <f t="shared" si="103"/>
        <v>48217.996246567847</v>
      </c>
      <c r="V37" s="13">
        <f t="shared" si="103"/>
        <v>47976.578607507472</v>
      </c>
      <c r="W37" s="13">
        <f t="shared" si="103"/>
        <v>47739.07979368142</v>
      </c>
      <c r="X37" s="13">
        <f t="shared" ref="X37:Z37" si="104">X35-X39</f>
        <v>47505.42889554688</v>
      </c>
      <c r="Y37" s="13">
        <f t="shared" si="104"/>
        <v>47275.556318467156</v>
      </c>
      <c r="Z37" s="13">
        <f t="shared" si="104"/>
        <v>47049.393758204511</v>
      </c>
      <c r="AA37" s="13">
        <f t="shared" si="103"/>
        <v>46826.874176869766</v>
      </c>
      <c r="AB37" s="13">
        <f t="shared" ref="AB37:AL37" si="105">AB35-AB39</f>
        <v>46607.931779320992</v>
      </c>
      <c r="AC37" s="13">
        <f t="shared" si="105"/>
        <v>46563.716300686399</v>
      </c>
      <c r="AD37" s="13">
        <f t="shared" si="105"/>
        <v>46520.702477708532</v>
      </c>
      <c r="AE37" s="13">
        <f t="shared" si="105"/>
        <v>46478.882091335159</v>
      </c>
      <c r="AF37" s="13">
        <f t="shared" si="105"/>
        <v>46438.247023692144</v>
      </c>
      <c r="AG37" s="13">
        <f t="shared" si="105"/>
        <v>46398.789257166485</v>
      </c>
      <c r="AH37" s="13">
        <f t="shared" si="105"/>
        <v>46360.500873499244</v>
      </c>
      <c r="AI37" s="13">
        <f t="shared" si="105"/>
        <v>46323.374052887768</v>
      </c>
      <c r="AJ37" s="13">
        <f t="shared" si="105"/>
        <v>46287.401073097637</v>
      </c>
      <c r="AK37" s="13">
        <f t="shared" si="105"/>
        <v>46252.574308583666</v>
      </c>
      <c r="AL37" s="13">
        <f t="shared" si="105"/>
        <v>46218.886229620519</v>
      </c>
    </row>
    <row r="38" spans="1:38" ht="30" hidden="1" x14ac:dyDescent="0.25">
      <c r="A38" s="10"/>
      <c r="B38" s="11" t="s">
        <v>24</v>
      </c>
      <c r="C38" s="12" t="s">
        <v>15</v>
      </c>
      <c r="D38" s="13">
        <f>D34-D36</f>
        <v>-1118.6644468485665</v>
      </c>
      <c r="E38" s="13">
        <f t="shared" ref="E38:T39" si="106">E34-E36</f>
        <v>-1298.1447750184411</v>
      </c>
      <c r="F38" s="13">
        <f t="shared" si="106"/>
        <v>-2287.9672977624787</v>
      </c>
      <c r="G38" s="13">
        <f t="shared" si="106"/>
        <v>-2250.5156665847067</v>
      </c>
      <c r="H38" s="13">
        <f>H34-H36</f>
        <v>-1606.5186655759344</v>
      </c>
      <c r="I38" s="13">
        <f t="shared" si="106"/>
        <v>-1573.4677231903152</v>
      </c>
      <c r="J38" s="13">
        <f t="shared" si="106"/>
        <v>-1541.3556093193656</v>
      </c>
      <c r="K38" s="13">
        <f t="shared" si="106"/>
        <v>-1454.0129034865452</v>
      </c>
      <c r="L38" s="13">
        <f t="shared" si="106"/>
        <v>-1326.3650050524675</v>
      </c>
      <c r="M38" s="22">
        <f t="shared" si="106"/>
        <v>-1193.9524344710687</v>
      </c>
      <c r="N38" s="13">
        <f t="shared" si="106"/>
        <v>-1179.3638545140368</v>
      </c>
      <c r="O38" s="13">
        <f t="shared" si="106"/>
        <v>-1165.0204503457908</v>
      </c>
      <c r="P38" s="13">
        <f t="shared" si="106"/>
        <v>-1150.9178253569441</v>
      </c>
      <c r="Q38" s="13">
        <f t="shared" si="106"/>
        <v>-1137.0516629766944</v>
      </c>
      <c r="R38" s="13">
        <f t="shared" si="106"/>
        <v>-1127.8760883447283</v>
      </c>
      <c r="S38" s="13">
        <f t="shared" si="106"/>
        <v>-1118.8505561164745</v>
      </c>
      <c r="T38" s="13">
        <f t="shared" si="106"/>
        <v>-1109.9723465407756</v>
      </c>
      <c r="U38" s="13">
        <f>U34-U36</f>
        <v>-1101.2387903187525</v>
      </c>
      <c r="V38" s="13">
        <f>V34-V36</f>
        <v>-1092.6472676633996</v>
      </c>
      <c r="W38" s="13">
        <f>W34-W36</f>
        <v>-1084.1952073767211</v>
      </c>
      <c r="X38" s="13">
        <f t="shared" ref="X38:Z38" si="107">X34-X36</f>
        <v>-1075.8800859440887</v>
      </c>
      <c r="Y38" s="13">
        <f t="shared" si="107"/>
        <v>-1067.6994266454908</v>
      </c>
      <c r="Z38" s="13">
        <f t="shared" si="107"/>
        <v>-1059.650798683376</v>
      </c>
      <c r="AA38" s="13">
        <f>AA34-AA36</f>
        <v>-1051.7318163267514</v>
      </c>
      <c r="AB38" s="13">
        <f t="shared" ref="AB38:AL38" si="108">AB34-AB36</f>
        <v>-1043.9401380712652</v>
      </c>
      <c r="AC38" s="13">
        <f t="shared" si="108"/>
        <v>-1042.366606460713</v>
      </c>
      <c r="AD38" s="13">
        <f t="shared" si="108"/>
        <v>-1040.8358391313411</v>
      </c>
      <c r="AE38" s="13">
        <f t="shared" si="108"/>
        <v>-1039.3475435851628</v>
      </c>
      <c r="AF38" s="13">
        <f t="shared" si="108"/>
        <v>-1037.9014309248967</v>
      </c>
      <c r="AG38" s="13">
        <f t="shared" si="108"/>
        <v>-1036.497215821335</v>
      </c>
      <c r="AH38" s="13">
        <f t="shared" si="108"/>
        <v>-1035.1346164810618</v>
      </c>
      <c r="AI38" s="13">
        <f t="shared" si="108"/>
        <v>-1033.8133546145048</v>
      </c>
      <c r="AJ38" s="13">
        <f t="shared" si="108"/>
        <v>-1032.5331554043294</v>
      </c>
      <c r="AK38" s="13">
        <f t="shared" si="108"/>
        <v>-1031.2937474741591</v>
      </c>
      <c r="AL38" s="13">
        <f t="shared" si="108"/>
        <v>-1030.0948628576343</v>
      </c>
    </row>
    <row r="39" spans="1:38" hidden="1" x14ac:dyDescent="0.25">
      <c r="A39" s="10"/>
      <c r="B39" s="11"/>
      <c r="C39" s="12" t="s">
        <v>20</v>
      </c>
      <c r="D39" s="13">
        <f>D35-D37</f>
        <v>-31837.056027195104</v>
      </c>
      <c r="E39" s="13">
        <f t="shared" si="106"/>
        <v>-36946.681689892583</v>
      </c>
      <c r="F39" s="13">
        <f t="shared" si="106"/>
        <v>-65118.16023456485</v>
      </c>
      <c r="G39" s="13">
        <f t="shared" si="106"/>
        <v>-64052.244072885012</v>
      </c>
      <c r="H39" s="13">
        <f t="shared" si="106"/>
        <v>-45402.047578386802</v>
      </c>
      <c r="I39" s="13">
        <f t="shared" si="106"/>
        <v>-44461.380041628348</v>
      </c>
      <c r="J39" s="13">
        <f t="shared" si="106"/>
        <v>-43547.432635752368</v>
      </c>
      <c r="K39" s="13">
        <f t="shared" si="106"/>
        <v>-41063.412845651736</v>
      </c>
      <c r="L39" s="13">
        <f>L38*1000/4.1868/8.5</f>
        <v>-37270.216339657622</v>
      </c>
      <c r="M39" s="22">
        <f t="shared" ref="M39:AA39" si="109">M38*1000/4.1868/8.5</f>
        <v>-33549.487028449883</v>
      </c>
      <c r="N39" s="13">
        <f t="shared" si="109"/>
        <v>-33139.554974289975</v>
      </c>
      <c r="O39" s="13">
        <f t="shared" si="109"/>
        <v>-32736.512241436416</v>
      </c>
      <c r="P39" s="13">
        <f t="shared" si="109"/>
        <v>-32340.235287287895</v>
      </c>
      <c r="Q39" s="13">
        <f t="shared" si="109"/>
        <v>-31950.602818288691</v>
      </c>
      <c r="R39" s="13">
        <f t="shared" si="109"/>
        <v>-31692.773600636407</v>
      </c>
      <c r="S39" s="13">
        <f t="shared" si="109"/>
        <v>-31439.160502095507</v>
      </c>
      <c r="T39" s="13">
        <f t="shared" si="109"/>
        <v>-31189.687098971437</v>
      </c>
      <c r="U39" s="13">
        <f t="shared" si="109"/>
        <v>-30944.278385254293</v>
      </c>
      <c r="V39" s="13">
        <f t="shared" si="109"/>
        <v>-30702.860746193914</v>
      </c>
      <c r="W39" s="13">
        <f t="shared" si="109"/>
        <v>-30465.361932367869</v>
      </c>
      <c r="X39" s="13">
        <f t="shared" ref="X39:Z39" si="110">X38*1000/4.1868/8.5</f>
        <v>-30231.711034233322</v>
      </c>
      <c r="Y39" s="13">
        <f t="shared" si="110"/>
        <v>-30001.838457153601</v>
      </c>
      <c r="Z39" s="13">
        <f t="shared" si="110"/>
        <v>-29775.675896890956</v>
      </c>
      <c r="AA39" s="13">
        <f t="shared" si="109"/>
        <v>-29553.156315556214</v>
      </c>
      <c r="AB39" s="13">
        <f t="shared" ref="AB39:AL39" si="111">AB38*1000/4.1868/8.5</f>
        <v>-29334.213918007441</v>
      </c>
      <c r="AC39" s="13">
        <f t="shared" si="111"/>
        <v>-29289.998439372845</v>
      </c>
      <c r="AD39" s="13">
        <f t="shared" si="111"/>
        <v>-29246.984616394977</v>
      </c>
      <c r="AE39" s="13">
        <f t="shared" si="111"/>
        <v>-29205.164230021604</v>
      </c>
      <c r="AF39" s="13">
        <f t="shared" si="111"/>
        <v>-29164.529162378589</v>
      </c>
      <c r="AG39" s="13">
        <f t="shared" si="111"/>
        <v>-29125.07139585293</v>
      </c>
      <c r="AH39" s="13">
        <f t="shared" si="111"/>
        <v>-29086.783012185686</v>
      </c>
      <c r="AI39" s="13">
        <f t="shared" si="111"/>
        <v>-29049.65619157421</v>
      </c>
      <c r="AJ39" s="13">
        <f t="shared" si="111"/>
        <v>-29013.683211784082</v>
      </c>
      <c r="AK39" s="13">
        <f t="shared" si="111"/>
        <v>-28978.856447270111</v>
      </c>
      <c r="AL39" s="13">
        <f t="shared" si="111"/>
        <v>-28945.16836830696</v>
      </c>
    </row>
    <row r="40" spans="1:38" s="83" customFormat="1" x14ac:dyDescent="0.25">
      <c r="A40" s="98"/>
      <c r="B40" s="93" t="s">
        <v>78</v>
      </c>
      <c r="C40" s="66" t="s">
        <v>19</v>
      </c>
      <c r="D40" s="102">
        <f>498707/1.162*4.1868/1000</f>
        <v>1796.890247504303</v>
      </c>
      <c r="E40" s="102">
        <f>E41*$C$70</f>
        <v>1853.2760217104194</v>
      </c>
      <c r="F40" s="102">
        <f>F41*$C$70</f>
        <v>3073.6790742258936</v>
      </c>
      <c r="G40" s="94">
        <f>G46*3.6</f>
        <v>3471.3525384</v>
      </c>
      <c r="H40" s="94">
        <f>H46*3.6-H34</f>
        <v>2803.3208738410899</v>
      </c>
      <c r="I40" s="94">
        <f t="shared" ref="I40:AA40" si="112">I46*3.6-I34</f>
        <v>2752.4402681553047</v>
      </c>
      <c r="J40" s="94">
        <f t="shared" si="112"/>
        <v>2703.0049514692751</v>
      </c>
      <c r="K40" s="94">
        <f t="shared" si="112"/>
        <v>2566.6400504666353</v>
      </c>
      <c r="L40" s="94">
        <f t="shared" si="112"/>
        <v>2366.8351083697071</v>
      </c>
      <c r="M40" s="94">
        <f t="shared" si="112"/>
        <v>2159.5225165933598</v>
      </c>
      <c r="N40" s="94">
        <f t="shared" si="112"/>
        <v>2137.0639804448638</v>
      </c>
      <c r="O40" s="94">
        <f t="shared" si="112"/>
        <v>2114.9828826304192</v>
      </c>
      <c r="P40" s="94">
        <f t="shared" si="112"/>
        <v>2093.2724547454891</v>
      </c>
      <c r="Q40" s="94">
        <f t="shared" si="112"/>
        <v>2071.9260516017303</v>
      </c>
      <c r="R40" s="94">
        <f t="shared" si="112"/>
        <v>2057.8006209455461</v>
      </c>
      <c r="S40" s="94">
        <f t="shared" si="112"/>
        <v>2043.9061745769025</v>
      </c>
      <c r="T40" s="94">
        <f t="shared" si="112"/>
        <v>2030.2385255475226</v>
      </c>
      <c r="U40" s="94">
        <f t="shared" si="112"/>
        <v>2016.7935645783994</v>
      </c>
      <c r="V40" s="94">
        <f t="shared" si="112"/>
        <v>2003.5672586120761</v>
      </c>
      <c r="W40" s="94">
        <f t="shared" si="112"/>
        <v>1990.5556493919387</v>
      </c>
      <c r="X40" s="94">
        <f t="shared" si="112"/>
        <v>1977.7548520680077</v>
      </c>
      <c r="Y40" s="94">
        <f t="shared" si="112"/>
        <v>1965.1610538287543</v>
      </c>
      <c r="Z40" s="94">
        <f t="shared" si="112"/>
        <v>1952.7705125584355</v>
      </c>
      <c r="AA40" s="94">
        <f t="shared" si="112"/>
        <v>1940.5795555194788</v>
      </c>
      <c r="AB40" s="94">
        <f t="shared" ref="AB40:AL40" si="113">AB46*3.6-AB34</f>
        <v>1928.5845780594589</v>
      </c>
      <c r="AC40" s="94">
        <f t="shared" si="113"/>
        <v>1926.162188994829</v>
      </c>
      <c r="AD40" s="94">
        <f t="shared" si="113"/>
        <v>1923.8056338329909</v>
      </c>
      <c r="AE40" s="94">
        <f t="shared" si="113"/>
        <v>1921.5144622849759</v>
      </c>
      <c r="AF40" s="94">
        <f t="shared" si="113"/>
        <v>1919.2882296049595</v>
      </c>
      <c r="AG40" s="94">
        <f t="shared" si="113"/>
        <v>1917.1264965400217</v>
      </c>
      <c r="AH40" s="94">
        <f t="shared" si="113"/>
        <v>1915.0288292804537</v>
      </c>
      <c r="AI40" s="94">
        <f t="shared" si="113"/>
        <v>1912.9947994105771</v>
      </c>
      <c r="AJ40" s="94">
        <f t="shared" si="113"/>
        <v>1911.0239838600785</v>
      </c>
      <c r="AK40" s="94">
        <f t="shared" si="113"/>
        <v>1909.1159648558689</v>
      </c>
      <c r="AL40" s="94">
        <f t="shared" si="113"/>
        <v>1907.2703298744379</v>
      </c>
    </row>
    <row r="41" spans="1:38" s="83" customFormat="1" x14ac:dyDescent="0.25">
      <c r="A41" s="98"/>
      <c r="B41" s="93"/>
      <c r="C41" s="66" t="s">
        <v>29</v>
      </c>
      <c r="D41" s="102">
        <v>118788.12699999999</v>
      </c>
      <c r="E41" s="102">
        <v>122515.656</v>
      </c>
      <c r="F41" s="102">
        <v>203193.59</v>
      </c>
      <c r="G41" s="94">
        <f>G40/$G$70</f>
        <v>218250.27500000005</v>
      </c>
      <c r="H41" s="94">
        <f t="shared" ref="H41:AA41" si="114">H40/$G$70</f>
        <v>176249.90399593874</v>
      </c>
      <c r="I41" s="94">
        <f t="shared" si="114"/>
        <v>173050.9473759328</v>
      </c>
      <c r="J41" s="94">
        <f t="shared" si="114"/>
        <v>169942.85871536389</v>
      </c>
      <c r="K41" s="94">
        <f t="shared" si="114"/>
        <v>161369.3482997691</v>
      </c>
      <c r="L41" s="94">
        <f t="shared" si="114"/>
        <v>148807.24661847082</v>
      </c>
      <c r="M41" s="94">
        <f t="shared" si="114"/>
        <v>135773.12528805557</v>
      </c>
      <c r="N41" s="94">
        <f t="shared" si="114"/>
        <v>134361.11609674309</v>
      </c>
      <c r="O41" s="94">
        <f t="shared" si="114"/>
        <v>132972.83714293633</v>
      </c>
      <c r="P41" s="94">
        <f t="shared" si="114"/>
        <v>131607.86288467859</v>
      </c>
      <c r="Q41" s="94">
        <f t="shared" si="114"/>
        <v>130265.77552684037</v>
      </c>
      <c r="R41" s="94">
        <f t="shared" si="114"/>
        <v>129377.6838994119</v>
      </c>
      <c r="S41" s="94">
        <f t="shared" si="114"/>
        <v>128504.11467606619</v>
      </c>
      <c r="T41" s="94">
        <f t="shared" si="114"/>
        <v>127644.80461571706</v>
      </c>
      <c r="U41" s="94">
        <f t="shared" si="114"/>
        <v>126799.49536048713</v>
      </c>
      <c r="V41" s="94">
        <f t="shared" si="114"/>
        <v>125967.93334468718</v>
      </c>
      <c r="W41" s="94">
        <f t="shared" si="114"/>
        <v>125149.86970549355</v>
      </c>
      <c r="X41" s="94">
        <f t="shared" si="114"/>
        <v>124345.06019529184</v>
      </c>
      <c r="Y41" s="94">
        <f t="shared" si="114"/>
        <v>123553.26509565656</v>
      </c>
      <c r="Z41" s="94">
        <f t="shared" si="114"/>
        <v>122774.24913293548</v>
      </c>
      <c r="AA41" s="94">
        <f t="shared" si="114"/>
        <v>122007.78139540865</v>
      </c>
      <c r="AB41" s="94">
        <f t="shared" ref="AB41:AL41" si="115">AB40/$G$70</f>
        <v>121253.63525199368</v>
      </c>
      <c r="AC41" s="94">
        <f t="shared" si="115"/>
        <v>121101.33522666806</v>
      </c>
      <c r="AD41" s="94">
        <f t="shared" si="115"/>
        <v>120953.17429906578</v>
      </c>
      <c r="AE41" s="94">
        <f t="shared" si="115"/>
        <v>120809.1241586969</v>
      </c>
      <c r="AF41" s="94">
        <f t="shared" si="115"/>
        <v>120669.15684357898</v>
      </c>
      <c r="AG41" s="94">
        <f t="shared" si="115"/>
        <v>120533.24473707864</v>
      </c>
      <c r="AH41" s="94">
        <f t="shared" si="115"/>
        <v>120401.36056478704</v>
      </c>
      <c r="AI41" s="94">
        <f t="shared" si="115"/>
        <v>120273.47739142794</v>
      </c>
      <c r="AJ41" s="94">
        <f t="shared" si="115"/>
        <v>120149.56861779792</v>
      </c>
      <c r="AK41" s="94">
        <f t="shared" si="115"/>
        <v>120029.60797773977</v>
      </c>
      <c r="AL41" s="94">
        <f t="shared" si="115"/>
        <v>119913.56953514685</v>
      </c>
    </row>
    <row r="42" spans="1:38" s="83" customFormat="1" x14ac:dyDescent="0.25">
      <c r="A42" s="98"/>
      <c r="B42" s="93" t="s">
        <v>62</v>
      </c>
      <c r="C42" s="66" t="s">
        <v>15</v>
      </c>
      <c r="D42" s="102"/>
      <c r="E42" s="102"/>
      <c r="F42" s="102"/>
      <c r="G42" s="94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</row>
    <row r="43" spans="1:38" s="83" customFormat="1" x14ac:dyDescent="0.25">
      <c r="A43" s="98"/>
      <c r="B43" s="93"/>
      <c r="C43" s="66" t="s">
        <v>29</v>
      </c>
      <c r="D43" s="102">
        <v>0</v>
      </c>
      <c r="E43" s="102">
        <v>0</v>
      </c>
      <c r="F43" s="102">
        <v>0</v>
      </c>
      <c r="G43" s="94">
        <v>0</v>
      </c>
      <c r="H43" s="102">
        <v>0</v>
      </c>
      <c r="I43" s="102">
        <v>0</v>
      </c>
      <c r="J43" s="102">
        <v>0</v>
      </c>
      <c r="K43" s="102">
        <v>0</v>
      </c>
      <c r="L43" s="102">
        <v>0</v>
      </c>
      <c r="M43" s="102">
        <v>0</v>
      </c>
      <c r="N43" s="102">
        <v>0</v>
      </c>
      <c r="O43" s="102">
        <v>0</v>
      </c>
      <c r="P43" s="102">
        <v>0</v>
      </c>
      <c r="Q43" s="102">
        <v>0</v>
      </c>
      <c r="R43" s="102">
        <v>0</v>
      </c>
      <c r="S43" s="102">
        <v>0</v>
      </c>
      <c r="T43" s="102">
        <v>0</v>
      </c>
      <c r="U43" s="102">
        <v>0</v>
      </c>
      <c r="V43" s="102">
        <v>0</v>
      </c>
      <c r="W43" s="102">
        <v>0</v>
      </c>
      <c r="X43" s="102">
        <v>0</v>
      </c>
      <c r="Y43" s="102">
        <v>0</v>
      </c>
      <c r="Z43" s="102">
        <v>0</v>
      </c>
      <c r="AA43" s="102">
        <v>0</v>
      </c>
      <c r="AB43" s="102">
        <v>0</v>
      </c>
      <c r="AC43" s="102">
        <v>0</v>
      </c>
      <c r="AD43" s="102">
        <v>0</v>
      </c>
      <c r="AE43" s="102">
        <v>0</v>
      </c>
      <c r="AF43" s="102">
        <v>0</v>
      </c>
      <c r="AG43" s="102">
        <v>0</v>
      </c>
      <c r="AH43" s="102">
        <v>0</v>
      </c>
      <c r="AI43" s="102">
        <v>0</v>
      </c>
      <c r="AJ43" s="102">
        <v>0</v>
      </c>
      <c r="AK43" s="102">
        <v>0</v>
      </c>
      <c r="AL43" s="102">
        <v>0</v>
      </c>
    </row>
    <row r="44" spans="1:38" s="83" customFormat="1" x14ac:dyDescent="0.25">
      <c r="A44" s="98"/>
      <c r="B44" s="93" t="s">
        <v>63</v>
      </c>
      <c r="C44" s="66" t="s">
        <v>15</v>
      </c>
      <c r="D44" s="102">
        <v>0</v>
      </c>
      <c r="E44" s="102">
        <v>0</v>
      </c>
      <c r="F44" s="102">
        <v>0</v>
      </c>
      <c r="G44" s="94">
        <v>0</v>
      </c>
      <c r="H44" s="102">
        <v>0</v>
      </c>
      <c r="I44" s="102">
        <v>0</v>
      </c>
      <c r="J44" s="102">
        <v>0</v>
      </c>
      <c r="K44" s="102">
        <v>0</v>
      </c>
      <c r="L44" s="102">
        <v>0</v>
      </c>
      <c r="M44" s="102">
        <v>0</v>
      </c>
      <c r="N44" s="102">
        <v>0</v>
      </c>
      <c r="O44" s="102">
        <v>0</v>
      </c>
      <c r="P44" s="102">
        <v>0</v>
      </c>
      <c r="Q44" s="102">
        <v>0</v>
      </c>
      <c r="R44" s="102">
        <v>0</v>
      </c>
      <c r="S44" s="102">
        <v>0</v>
      </c>
      <c r="T44" s="102">
        <v>0</v>
      </c>
      <c r="U44" s="102">
        <v>0</v>
      </c>
      <c r="V44" s="102">
        <v>0</v>
      </c>
      <c r="W44" s="102">
        <v>0</v>
      </c>
      <c r="X44" s="102">
        <v>0</v>
      </c>
      <c r="Y44" s="102">
        <v>0</v>
      </c>
      <c r="Z44" s="102">
        <v>0</v>
      </c>
      <c r="AA44" s="102">
        <v>0</v>
      </c>
      <c r="AB44" s="102">
        <v>0</v>
      </c>
      <c r="AC44" s="102">
        <v>0</v>
      </c>
      <c r="AD44" s="102">
        <v>0</v>
      </c>
      <c r="AE44" s="102">
        <v>0</v>
      </c>
      <c r="AF44" s="102">
        <v>0</v>
      </c>
      <c r="AG44" s="102">
        <v>0</v>
      </c>
      <c r="AH44" s="102">
        <v>0</v>
      </c>
      <c r="AI44" s="102">
        <v>0</v>
      </c>
      <c r="AJ44" s="102">
        <v>0</v>
      </c>
      <c r="AK44" s="102">
        <v>0</v>
      </c>
      <c r="AL44" s="102">
        <v>0</v>
      </c>
    </row>
    <row r="45" spans="1:38" s="83" customFormat="1" x14ac:dyDescent="0.25">
      <c r="A45" s="98"/>
      <c r="B45" s="93"/>
      <c r="C45" s="66" t="s">
        <v>29</v>
      </c>
      <c r="D45" s="108">
        <v>0</v>
      </c>
      <c r="E45" s="108">
        <v>0</v>
      </c>
      <c r="F45" s="108">
        <v>0</v>
      </c>
      <c r="G45" s="109">
        <v>0</v>
      </c>
      <c r="H45" s="108">
        <v>0</v>
      </c>
      <c r="I45" s="108">
        <v>0</v>
      </c>
      <c r="J45" s="108">
        <v>0</v>
      </c>
      <c r="K45" s="108">
        <v>0</v>
      </c>
      <c r="L45" s="108">
        <v>0</v>
      </c>
      <c r="M45" s="108">
        <v>0</v>
      </c>
      <c r="N45" s="108">
        <v>0</v>
      </c>
      <c r="O45" s="108">
        <v>0</v>
      </c>
      <c r="P45" s="108">
        <v>0</v>
      </c>
      <c r="Q45" s="108">
        <v>0</v>
      </c>
      <c r="R45" s="108">
        <v>0</v>
      </c>
      <c r="S45" s="108">
        <v>0</v>
      </c>
      <c r="T45" s="108">
        <v>0</v>
      </c>
      <c r="U45" s="108">
        <v>0</v>
      </c>
      <c r="V45" s="108">
        <v>0</v>
      </c>
      <c r="W45" s="108">
        <v>0</v>
      </c>
      <c r="X45" s="108">
        <v>0</v>
      </c>
      <c r="Y45" s="108">
        <v>0</v>
      </c>
      <c r="Z45" s="108">
        <v>0</v>
      </c>
      <c r="AA45" s="108">
        <v>0</v>
      </c>
      <c r="AB45" s="108">
        <v>0</v>
      </c>
      <c r="AC45" s="108">
        <v>0</v>
      </c>
      <c r="AD45" s="108">
        <v>0</v>
      </c>
      <c r="AE45" s="108">
        <v>0</v>
      </c>
      <c r="AF45" s="108">
        <v>0</v>
      </c>
      <c r="AG45" s="108">
        <v>0</v>
      </c>
      <c r="AH45" s="108">
        <v>0</v>
      </c>
      <c r="AI45" s="108">
        <v>0</v>
      </c>
      <c r="AJ45" s="108">
        <v>0</v>
      </c>
      <c r="AK45" s="108">
        <v>0</v>
      </c>
      <c r="AL45" s="108">
        <v>0</v>
      </c>
    </row>
    <row r="46" spans="1:38" s="115" customFormat="1" x14ac:dyDescent="0.25">
      <c r="A46" s="110"/>
      <c r="B46" s="107"/>
      <c r="C46" s="90" t="s">
        <v>18</v>
      </c>
      <c r="D46" s="111"/>
      <c r="E46" s="112"/>
      <c r="F46" s="112"/>
      <c r="G46" s="113">
        <f>964264.594/1000</f>
        <v>964.26459399999999</v>
      </c>
      <c r="H46" s="114">
        <f>H33*$G$47</f>
        <v>948.70024273363606</v>
      </c>
      <c r="I46" s="114">
        <f t="shared" ref="I46:AA46" si="116">I33*$G$47</f>
        <v>934.5667411542513</v>
      </c>
      <c r="J46" s="114">
        <f t="shared" si="116"/>
        <v>920.83470874146531</v>
      </c>
      <c r="K46" s="114">
        <f t="shared" si="116"/>
        <v>881.97501401850991</v>
      </c>
      <c r="L46" s="114">
        <f t="shared" si="116"/>
        <v>824.77641899158527</v>
      </c>
      <c r="M46" s="114">
        <f t="shared" si="116"/>
        <v>765.40347683148877</v>
      </c>
      <c r="N46" s="114">
        <f t="shared" si="116"/>
        <v>759.16499456801762</v>
      </c>
      <c r="O46" s="114">
        <f t="shared" si="116"/>
        <v>753.03135628622761</v>
      </c>
      <c r="P46" s="114">
        <f t="shared" si="116"/>
        <v>747.00068187374688</v>
      </c>
      <c r="Q46" s="114">
        <f t="shared" si="116"/>
        <v>741.07112544492509</v>
      </c>
      <c r="R46" s="114">
        <f t="shared" si="116"/>
        <v>737.14739470709605</v>
      </c>
      <c r="S46" s="114">
        <f t="shared" si="116"/>
        <v>733.28782627136184</v>
      </c>
      <c r="T46" s="114">
        <f t="shared" si="116"/>
        <v>729.49125709653401</v>
      </c>
      <c r="U46" s="114">
        <f t="shared" si="116"/>
        <v>725.75654571622204</v>
      </c>
      <c r="V46" s="114">
        <f t="shared" si="116"/>
        <v>722.08257183668786</v>
      </c>
      <c r="W46" s="114">
        <f t="shared" si="116"/>
        <v>718.46823594220518</v>
      </c>
      <c r="X46" s="114">
        <f t="shared" si="116"/>
        <v>714.91245890777998</v>
      </c>
      <c r="Y46" s="114">
        <f t="shared" si="116"/>
        <v>711.41418161909849</v>
      </c>
      <c r="Z46" s="114">
        <f t="shared" si="116"/>
        <v>707.97236459956537</v>
      </c>
      <c r="AA46" s="114">
        <f t="shared" si="116"/>
        <v>704.58598764429962</v>
      </c>
      <c r="AB46" s="114">
        <f t="shared" ref="AB46:AL46" si="117">AB33*$G$47</f>
        <v>701.2540494609608</v>
      </c>
      <c r="AC46" s="114">
        <f t="shared" si="117"/>
        <v>700.58116360967472</v>
      </c>
      <c r="AD46" s="114">
        <f t="shared" si="117"/>
        <v>699.92656495360859</v>
      </c>
      <c r="AE46" s="114">
        <f t="shared" si="117"/>
        <v>699.29012841249335</v>
      </c>
      <c r="AF46" s="114">
        <f t="shared" si="117"/>
        <v>698.67173044582205</v>
      </c>
      <c r="AG46" s="114">
        <f t="shared" si="117"/>
        <v>698.07124903889485</v>
      </c>
      <c r="AH46" s="114">
        <f t="shared" si="117"/>
        <v>697.48856368901488</v>
      </c>
      <c r="AI46" s="114">
        <f t="shared" si="117"/>
        <v>696.92355539182699</v>
      </c>
      <c r="AJ46" s="114">
        <f t="shared" si="117"/>
        <v>696.37610662779957</v>
      </c>
      <c r="AK46" s="114">
        <f t="shared" si="117"/>
        <v>695.84610134885247</v>
      </c>
      <c r="AL46" s="114">
        <f t="shared" si="117"/>
        <v>695.33342496512159</v>
      </c>
    </row>
    <row r="47" spans="1:38" s="83" customFormat="1" x14ac:dyDescent="0.25">
      <c r="A47" s="98"/>
      <c r="B47" s="99"/>
      <c r="C47" s="100"/>
      <c r="D47" s="108"/>
      <c r="E47" s="84"/>
      <c r="F47" s="84"/>
      <c r="G47" s="84">
        <f>G46/G33</f>
        <v>2.4552817624191605</v>
      </c>
      <c r="H47" s="94">
        <f>H40*17.99%-H50</f>
        <v>501.87298075956755</v>
      </c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</row>
    <row r="48" spans="1:38" s="83" customFormat="1" x14ac:dyDescent="0.25">
      <c r="A48" s="98"/>
      <c r="B48" s="107" t="s">
        <v>25</v>
      </c>
      <c r="C48" s="100"/>
      <c r="D48" s="108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</row>
    <row r="49" spans="1:41" s="83" customFormat="1" x14ac:dyDescent="0.25">
      <c r="A49" s="98"/>
      <c r="B49" s="93" t="s">
        <v>22</v>
      </c>
      <c r="C49" s="66" t="s">
        <v>15</v>
      </c>
      <c r="D49" s="94">
        <f>(622/1.162)*4.1868/1000</f>
        <v>2.2411270223752155</v>
      </c>
      <c r="E49" s="94">
        <f>D49</f>
        <v>2.2411270223752155</v>
      </c>
      <c r="F49" s="94">
        <f>E49</f>
        <v>2.2411270223752155</v>
      </c>
      <c r="G49" s="94">
        <v>0</v>
      </c>
      <c r="H49" s="94">
        <v>2.2000000000000002</v>
      </c>
      <c r="I49" s="94">
        <f t="shared" ref="I49:W49" si="118">H49</f>
        <v>2.2000000000000002</v>
      </c>
      <c r="J49" s="94">
        <f t="shared" si="118"/>
        <v>2.2000000000000002</v>
      </c>
      <c r="K49" s="94">
        <f t="shared" si="118"/>
        <v>2.2000000000000002</v>
      </c>
      <c r="L49" s="94">
        <f t="shared" si="118"/>
        <v>2.2000000000000002</v>
      </c>
      <c r="M49" s="94">
        <f t="shared" si="118"/>
        <v>2.2000000000000002</v>
      </c>
      <c r="N49" s="94">
        <f t="shared" si="118"/>
        <v>2.2000000000000002</v>
      </c>
      <c r="O49" s="94">
        <f t="shared" si="118"/>
        <v>2.2000000000000002</v>
      </c>
      <c r="P49" s="94">
        <f t="shared" si="118"/>
        <v>2.2000000000000002</v>
      </c>
      <c r="Q49" s="94">
        <f t="shared" si="118"/>
        <v>2.2000000000000002</v>
      </c>
      <c r="R49" s="94">
        <f t="shared" si="118"/>
        <v>2.2000000000000002</v>
      </c>
      <c r="S49" s="94">
        <f t="shared" si="118"/>
        <v>2.2000000000000002</v>
      </c>
      <c r="T49" s="94">
        <f t="shared" si="118"/>
        <v>2.2000000000000002</v>
      </c>
      <c r="U49" s="94">
        <f t="shared" si="118"/>
        <v>2.2000000000000002</v>
      </c>
      <c r="V49" s="94">
        <f t="shared" si="118"/>
        <v>2.2000000000000002</v>
      </c>
      <c r="W49" s="94">
        <f t="shared" si="118"/>
        <v>2.2000000000000002</v>
      </c>
      <c r="X49" s="94">
        <f t="shared" ref="X49" si="119">W49</f>
        <v>2.2000000000000002</v>
      </c>
      <c r="Y49" s="94">
        <f t="shared" ref="Y49" si="120">X49</f>
        <v>2.2000000000000002</v>
      </c>
      <c r="Z49" s="94">
        <f t="shared" ref="Z49" si="121">Y49</f>
        <v>2.2000000000000002</v>
      </c>
      <c r="AA49" s="94">
        <f t="shared" ref="AA49" si="122">Z49</f>
        <v>2.2000000000000002</v>
      </c>
      <c r="AB49" s="94">
        <f t="shared" ref="AB49" si="123">AA49</f>
        <v>2.2000000000000002</v>
      </c>
      <c r="AC49" s="94">
        <f t="shared" ref="AC49" si="124">AB49</f>
        <v>2.2000000000000002</v>
      </c>
      <c r="AD49" s="94">
        <f t="shared" ref="AD49" si="125">AC49</f>
        <v>2.2000000000000002</v>
      </c>
      <c r="AE49" s="94">
        <f t="shared" ref="AE49" si="126">AD49</f>
        <v>2.2000000000000002</v>
      </c>
      <c r="AF49" s="94">
        <f t="shared" ref="AF49" si="127">AE49</f>
        <v>2.2000000000000002</v>
      </c>
      <c r="AG49" s="94">
        <f t="shared" ref="AG49" si="128">AF49</f>
        <v>2.2000000000000002</v>
      </c>
      <c r="AH49" s="94">
        <f t="shared" ref="AH49" si="129">AG49</f>
        <v>2.2000000000000002</v>
      </c>
      <c r="AI49" s="94">
        <f t="shared" ref="AI49" si="130">AH49</f>
        <v>2.2000000000000002</v>
      </c>
      <c r="AJ49" s="94">
        <f t="shared" ref="AJ49" si="131">AI49</f>
        <v>2.2000000000000002</v>
      </c>
      <c r="AK49" s="94">
        <f t="shared" ref="AK49" si="132">AJ49</f>
        <v>2.2000000000000002</v>
      </c>
      <c r="AL49" s="94">
        <f t="shared" ref="AL49" si="133">AK49</f>
        <v>2.2000000000000002</v>
      </c>
    </row>
    <row r="50" spans="1:41" s="83" customFormat="1" x14ac:dyDescent="0.25">
      <c r="A50" s="98"/>
      <c r="B50" s="93" t="s">
        <v>30</v>
      </c>
      <c r="C50" s="66" t="s">
        <v>15</v>
      </c>
      <c r="D50" s="94">
        <f>D49/0.96</f>
        <v>2.3345073149741831</v>
      </c>
      <c r="E50" s="94">
        <f>E49/0.96</f>
        <v>2.3345073149741831</v>
      </c>
      <c r="F50" s="94">
        <f t="shared" ref="F50:G50" si="134">F49/0.96</f>
        <v>2.3345073149741831</v>
      </c>
      <c r="G50" s="94">
        <f t="shared" si="134"/>
        <v>0</v>
      </c>
      <c r="H50" s="94">
        <f>H49/0.9</f>
        <v>2.4444444444444446</v>
      </c>
      <c r="I50" s="94">
        <f>I49/0.9</f>
        <v>2.4444444444444446</v>
      </c>
      <c r="J50" s="94">
        <f t="shared" ref="J50:AA50" si="135">J49/0.9</f>
        <v>2.4444444444444446</v>
      </c>
      <c r="K50" s="94">
        <f t="shared" si="135"/>
        <v>2.4444444444444446</v>
      </c>
      <c r="L50" s="94">
        <f t="shared" si="135"/>
        <v>2.4444444444444446</v>
      </c>
      <c r="M50" s="94">
        <f t="shared" si="135"/>
        <v>2.4444444444444446</v>
      </c>
      <c r="N50" s="94">
        <f t="shared" si="135"/>
        <v>2.4444444444444446</v>
      </c>
      <c r="O50" s="94">
        <f t="shared" si="135"/>
        <v>2.4444444444444446</v>
      </c>
      <c r="P50" s="94">
        <f t="shared" si="135"/>
        <v>2.4444444444444446</v>
      </c>
      <c r="Q50" s="94">
        <f t="shared" si="135"/>
        <v>2.4444444444444446</v>
      </c>
      <c r="R50" s="94">
        <f t="shared" si="135"/>
        <v>2.4444444444444446</v>
      </c>
      <c r="S50" s="94">
        <f t="shared" si="135"/>
        <v>2.4444444444444446</v>
      </c>
      <c r="T50" s="94">
        <f t="shared" si="135"/>
        <v>2.4444444444444446</v>
      </c>
      <c r="U50" s="94">
        <f t="shared" si="135"/>
        <v>2.4444444444444446</v>
      </c>
      <c r="V50" s="94">
        <f t="shared" si="135"/>
        <v>2.4444444444444446</v>
      </c>
      <c r="W50" s="94">
        <f t="shared" si="135"/>
        <v>2.4444444444444446</v>
      </c>
      <c r="X50" s="94">
        <f t="shared" si="135"/>
        <v>2.4444444444444446</v>
      </c>
      <c r="Y50" s="94">
        <f t="shared" si="135"/>
        <v>2.4444444444444446</v>
      </c>
      <c r="Z50" s="94">
        <f t="shared" si="135"/>
        <v>2.4444444444444446</v>
      </c>
      <c r="AA50" s="94">
        <f t="shared" si="135"/>
        <v>2.4444444444444446</v>
      </c>
      <c r="AB50" s="94">
        <f t="shared" ref="AB50:AL50" si="136">AB49/0.9</f>
        <v>2.4444444444444446</v>
      </c>
      <c r="AC50" s="94">
        <f t="shared" si="136"/>
        <v>2.4444444444444446</v>
      </c>
      <c r="AD50" s="94">
        <f t="shared" si="136"/>
        <v>2.4444444444444446</v>
      </c>
      <c r="AE50" s="94">
        <f t="shared" si="136"/>
        <v>2.4444444444444446</v>
      </c>
      <c r="AF50" s="94">
        <f t="shared" si="136"/>
        <v>2.4444444444444446</v>
      </c>
      <c r="AG50" s="94">
        <f t="shared" si="136"/>
        <v>2.4444444444444446</v>
      </c>
      <c r="AH50" s="94">
        <f t="shared" si="136"/>
        <v>2.4444444444444446</v>
      </c>
      <c r="AI50" s="94">
        <f t="shared" si="136"/>
        <v>2.4444444444444446</v>
      </c>
      <c r="AJ50" s="94">
        <f t="shared" si="136"/>
        <v>2.4444444444444446</v>
      </c>
      <c r="AK50" s="94">
        <f t="shared" si="136"/>
        <v>2.4444444444444446</v>
      </c>
      <c r="AL50" s="94">
        <f t="shared" si="136"/>
        <v>2.4444444444444446</v>
      </c>
    </row>
    <row r="51" spans="1:41" s="95" customFormat="1" ht="30" x14ac:dyDescent="0.25">
      <c r="A51" s="92"/>
      <c r="B51" s="93" t="s">
        <v>59</v>
      </c>
      <c r="C51" s="66" t="s">
        <v>15</v>
      </c>
      <c r="D51" s="94">
        <f t="shared" ref="D51:AA51" si="137">D50-D53</f>
        <v>2.3345073149741831</v>
      </c>
      <c r="E51" s="94">
        <v>0</v>
      </c>
      <c r="F51" s="94">
        <v>0</v>
      </c>
      <c r="G51" s="94">
        <f t="shared" si="137"/>
        <v>0</v>
      </c>
      <c r="H51" s="94">
        <f t="shared" si="137"/>
        <v>2.4444444444444446</v>
      </c>
      <c r="I51" s="94">
        <f t="shared" si="137"/>
        <v>2.4444444444444446</v>
      </c>
      <c r="J51" s="94">
        <f t="shared" si="137"/>
        <v>2.4444444444444446</v>
      </c>
      <c r="K51" s="94">
        <f t="shared" si="137"/>
        <v>2.4444444444444446</v>
      </c>
      <c r="L51" s="94">
        <f t="shared" si="137"/>
        <v>2.4444444444444446</v>
      </c>
      <c r="M51" s="94">
        <f t="shared" si="137"/>
        <v>2.4444444444444446</v>
      </c>
      <c r="N51" s="94">
        <f t="shared" si="137"/>
        <v>2.4444444444444446</v>
      </c>
      <c r="O51" s="94">
        <f t="shared" si="137"/>
        <v>2.4444444444444446</v>
      </c>
      <c r="P51" s="94">
        <f t="shared" si="137"/>
        <v>2.4444444444444446</v>
      </c>
      <c r="Q51" s="94">
        <f t="shared" si="137"/>
        <v>2.4444444444444446</v>
      </c>
      <c r="R51" s="94">
        <f t="shared" si="137"/>
        <v>2.4444444444444446</v>
      </c>
      <c r="S51" s="94">
        <f t="shared" si="137"/>
        <v>2.4444444444444446</v>
      </c>
      <c r="T51" s="94">
        <f t="shared" si="137"/>
        <v>2.4444444444444446</v>
      </c>
      <c r="U51" s="94">
        <f t="shared" si="137"/>
        <v>2.4444444444444446</v>
      </c>
      <c r="V51" s="94">
        <f t="shared" si="137"/>
        <v>2.4444444444444446</v>
      </c>
      <c r="W51" s="94">
        <f t="shared" si="137"/>
        <v>2.4444444444444446</v>
      </c>
      <c r="X51" s="94">
        <f t="shared" ref="X51:Z51" si="138">X50-X53</f>
        <v>2.4444444444444446</v>
      </c>
      <c r="Y51" s="94">
        <f t="shared" si="138"/>
        <v>2.4444444444444446</v>
      </c>
      <c r="Z51" s="94">
        <f t="shared" si="138"/>
        <v>2.4444444444444446</v>
      </c>
      <c r="AA51" s="94">
        <f t="shared" si="137"/>
        <v>2.4444444444444446</v>
      </c>
      <c r="AB51" s="94">
        <f t="shared" ref="AB51:AL51" si="139">AB50-AB53</f>
        <v>2.4444444444444446</v>
      </c>
      <c r="AC51" s="94">
        <f t="shared" si="139"/>
        <v>2.4444444444444446</v>
      </c>
      <c r="AD51" s="94">
        <f t="shared" si="139"/>
        <v>2.4444444444444446</v>
      </c>
      <c r="AE51" s="94">
        <f t="shared" si="139"/>
        <v>2.4444444444444446</v>
      </c>
      <c r="AF51" s="94">
        <f t="shared" si="139"/>
        <v>2.4444444444444446</v>
      </c>
      <c r="AG51" s="94">
        <f t="shared" si="139"/>
        <v>2.4444444444444446</v>
      </c>
      <c r="AH51" s="94">
        <f t="shared" si="139"/>
        <v>2.4444444444444446</v>
      </c>
      <c r="AI51" s="94">
        <f t="shared" si="139"/>
        <v>2.4444444444444446</v>
      </c>
      <c r="AJ51" s="94">
        <f t="shared" si="139"/>
        <v>2.4444444444444446</v>
      </c>
      <c r="AK51" s="94">
        <f t="shared" si="139"/>
        <v>2.4444444444444446</v>
      </c>
      <c r="AL51" s="94">
        <f t="shared" si="139"/>
        <v>2.4444444444444446</v>
      </c>
    </row>
    <row r="52" spans="1:41" s="95" customFormat="1" x14ac:dyDescent="0.25">
      <c r="A52" s="92"/>
      <c r="B52" s="93"/>
      <c r="C52" s="66" t="s">
        <v>20</v>
      </c>
      <c r="D52" s="94">
        <f>D51*1000/4.1868/8.24</f>
        <v>67.668385051997177</v>
      </c>
      <c r="E52" s="94">
        <f t="shared" ref="E52:AA52" si="140">E51*1000/4.1868/8.24</f>
        <v>0</v>
      </c>
      <c r="F52" s="94">
        <f t="shared" si="140"/>
        <v>0</v>
      </c>
      <c r="G52" s="94">
        <f t="shared" si="140"/>
        <v>0</v>
      </c>
      <c r="H52" s="94">
        <f t="shared" si="140"/>
        <v>70.855039452601289</v>
      </c>
      <c r="I52" s="94">
        <f t="shared" si="140"/>
        <v>70.855039452601289</v>
      </c>
      <c r="J52" s="94">
        <f t="shared" si="140"/>
        <v>70.855039452601289</v>
      </c>
      <c r="K52" s="94">
        <f t="shared" si="140"/>
        <v>70.855039452601289</v>
      </c>
      <c r="L52" s="94">
        <f t="shared" si="140"/>
        <v>70.855039452601289</v>
      </c>
      <c r="M52" s="94">
        <f t="shared" si="140"/>
        <v>70.855039452601289</v>
      </c>
      <c r="N52" s="94">
        <f t="shared" si="140"/>
        <v>70.855039452601289</v>
      </c>
      <c r="O52" s="94">
        <f t="shared" si="140"/>
        <v>70.855039452601289</v>
      </c>
      <c r="P52" s="94">
        <f t="shared" si="140"/>
        <v>70.855039452601289</v>
      </c>
      <c r="Q52" s="94">
        <f t="shared" si="140"/>
        <v>70.855039452601289</v>
      </c>
      <c r="R52" s="94">
        <f t="shared" si="140"/>
        <v>70.855039452601289</v>
      </c>
      <c r="S52" s="94">
        <f t="shared" si="140"/>
        <v>70.855039452601289</v>
      </c>
      <c r="T52" s="94">
        <f t="shared" si="140"/>
        <v>70.855039452601289</v>
      </c>
      <c r="U52" s="94">
        <f t="shared" si="140"/>
        <v>70.855039452601289</v>
      </c>
      <c r="V52" s="94">
        <f t="shared" si="140"/>
        <v>70.855039452601289</v>
      </c>
      <c r="W52" s="94">
        <f t="shared" si="140"/>
        <v>70.855039452601289</v>
      </c>
      <c r="X52" s="94">
        <f t="shared" ref="X52:Z52" si="141">X51*1000/4.1868/8.24</f>
        <v>70.855039452601289</v>
      </c>
      <c r="Y52" s="94">
        <f t="shared" si="141"/>
        <v>70.855039452601289</v>
      </c>
      <c r="Z52" s="94">
        <f t="shared" si="141"/>
        <v>70.855039452601289</v>
      </c>
      <c r="AA52" s="94">
        <f t="shared" si="140"/>
        <v>70.855039452601289</v>
      </c>
      <c r="AB52" s="94">
        <f t="shared" ref="AB52:AL52" si="142">AB51*1000/4.1868/8.24</f>
        <v>70.855039452601289</v>
      </c>
      <c r="AC52" s="94">
        <f t="shared" si="142"/>
        <v>70.855039452601289</v>
      </c>
      <c r="AD52" s="94">
        <f t="shared" si="142"/>
        <v>70.855039452601289</v>
      </c>
      <c r="AE52" s="94">
        <f t="shared" si="142"/>
        <v>70.855039452601289</v>
      </c>
      <c r="AF52" s="94">
        <f t="shared" si="142"/>
        <v>70.855039452601289</v>
      </c>
      <c r="AG52" s="94">
        <f t="shared" si="142"/>
        <v>70.855039452601289</v>
      </c>
      <c r="AH52" s="94">
        <f t="shared" si="142"/>
        <v>70.855039452601289</v>
      </c>
      <c r="AI52" s="94">
        <f t="shared" si="142"/>
        <v>70.855039452601289</v>
      </c>
      <c r="AJ52" s="94">
        <f t="shared" si="142"/>
        <v>70.855039452601289</v>
      </c>
      <c r="AK52" s="94">
        <f t="shared" si="142"/>
        <v>70.855039452601289</v>
      </c>
      <c r="AL52" s="94">
        <f t="shared" si="142"/>
        <v>70.855039452601289</v>
      </c>
      <c r="AM52" s="104"/>
      <c r="AN52" s="104"/>
      <c r="AO52" s="104"/>
    </row>
    <row r="53" spans="1:41" s="95" customFormat="1" ht="30" x14ac:dyDescent="0.25">
      <c r="A53" s="92"/>
      <c r="B53" s="93" t="s">
        <v>77</v>
      </c>
      <c r="C53" s="66" t="s">
        <v>19</v>
      </c>
      <c r="D53" s="94">
        <v>0</v>
      </c>
      <c r="E53" s="94">
        <v>0</v>
      </c>
      <c r="F53" s="94">
        <v>0</v>
      </c>
      <c r="G53" s="94">
        <v>0</v>
      </c>
      <c r="H53" s="94">
        <v>0</v>
      </c>
      <c r="I53" s="94">
        <v>0</v>
      </c>
      <c r="J53" s="94">
        <v>0</v>
      </c>
      <c r="K53" s="94">
        <v>0</v>
      </c>
      <c r="L53" s="94">
        <v>0</v>
      </c>
      <c r="M53" s="94">
        <v>0</v>
      </c>
      <c r="N53" s="94">
        <v>0</v>
      </c>
      <c r="O53" s="94">
        <v>0</v>
      </c>
      <c r="P53" s="94">
        <v>0</v>
      </c>
      <c r="Q53" s="94">
        <v>0</v>
      </c>
      <c r="R53" s="94">
        <v>0</v>
      </c>
      <c r="S53" s="94">
        <v>0</v>
      </c>
      <c r="T53" s="94">
        <v>0</v>
      </c>
      <c r="U53" s="94">
        <v>0</v>
      </c>
      <c r="V53" s="94">
        <v>0</v>
      </c>
      <c r="W53" s="94">
        <v>0</v>
      </c>
      <c r="X53" s="94">
        <v>0</v>
      </c>
      <c r="Y53" s="94">
        <v>0</v>
      </c>
      <c r="Z53" s="94">
        <v>0</v>
      </c>
      <c r="AA53" s="94">
        <v>0</v>
      </c>
      <c r="AB53" s="94">
        <v>0</v>
      </c>
      <c r="AC53" s="94">
        <v>0</v>
      </c>
      <c r="AD53" s="94">
        <v>0</v>
      </c>
      <c r="AE53" s="94">
        <v>0</v>
      </c>
      <c r="AF53" s="94">
        <v>0</v>
      </c>
      <c r="AG53" s="94">
        <v>0</v>
      </c>
      <c r="AH53" s="94">
        <v>0</v>
      </c>
      <c r="AI53" s="94">
        <v>0</v>
      </c>
      <c r="AJ53" s="94">
        <v>0</v>
      </c>
      <c r="AK53" s="94">
        <v>0</v>
      </c>
      <c r="AL53" s="94">
        <v>0</v>
      </c>
    </row>
    <row r="54" spans="1:41" s="95" customFormat="1" x14ac:dyDescent="0.25">
      <c r="A54" s="92"/>
      <c r="B54" s="93"/>
      <c r="C54" s="66" t="s">
        <v>29</v>
      </c>
      <c r="D54" s="94">
        <f>D53*1000/4.1868/1.8</f>
        <v>0</v>
      </c>
      <c r="E54" s="94">
        <f t="shared" ref="E54:AA54" si="143">E53*1000/4.1868/1.8</f>
        <v>0</v>
      </c>
      <c r="F54" s="94">
        <f t="shared" si="143"/>
        <v>0</v>
      </c>
      <c r="G54" s="94">
        <f t="shared" si="143"/>
        <v>0</v>
      </c>
      <c r="H54" s="94">
        <f t="shared" si="143"/>
        <v>0</v>
      </c>
      <c r="I54" s="94">
        <f t="shared" si="143"/>
        <v>0</v>
      </c>
      <c r="J54" s="94">
        <f t="shared" si="143"/>
        <v>0</v>
      </c>
      <c r="K54" s="94">
        <f t="shared" si="143"/>
        <v>0</v>
      </c>
      <c r="L54" s="94">
        <f t="shared" si="143"/>
        <v>0</v>
      </c>
      <c r="M54" s="94">
        <f t="shared" si="143"/>
        <v>0</v>
      </c>
      <c r="N54" s="94">
        <f t="shared" si="143"/>
        <v>0</v>
      </c>
      <c r="O54" s="94">
        <f t="shared" si="143"/>
        <v>0</v>
      </c>
      <c r="P54" s="94">
        <f t="shared" si="143"/>
        <v>0</v>
      </c>
      <c r="Q54" s="94">
        <f t="shared" si="143"/>
        <v>0</v>
      </c>
      <c r="R54" s="94">
        <f t="shared" si="143"/>
        <v>0</v>
      </c>
      <c r="S54" s="94">
        <f t="shared" si="143"/>
        <v>0</v>
      </c>
      <c r="T54" s="94">
        <f t="shared" si="143"/>
        <v>0</v>
      </c>
      <c r="U54" s="94">
        <f t="shared" si="143"/>
        <v>0</v>
      </c>
      <c r="V54" s="94">
        <f t="shared" si="143"/>
        <v>0</v>
      </c>
      <c r="W54" s="94">
        <f t="shared" si="143"/>
        <v>0</v>
      </c>
      <c r="X54" s="94">
        <f t="shared" si="143"/>
        <v>0</v>
      </c>
      <c r="Y54" s="94">
        <f t="shared" si="143"/>
        <v>0</v>
      </c>
      <c r="Z54" s="94">
        <f t="shared" si="143"/>
        <v>0</v>
      </c>
      <c r="AA54" s="94">
        <f t="shared" si="143"/>
        <v>0</v>
      </c>
      <c r="AB54" s="94">
        <f t="shared" ref="AB54:AL54" si="144">AB53*1000/4.1868/1.8</f>
        <v>0</v>
      </c>
      <c r="AC54" s="94">
        <f t="shared" si="144"/>
        <v>0</v>
      </c>
      <c r="AD54" s="94">
        <f t="shared" si="144"/>
        <v>0</v>
      </c>
      <c r="AE54" s="94">
        <f t="shared" si="144"/>
        <v>0</v>
      </c>
      <c r="AF54" s="94">
        <f t="shared" si="144"/>
        <v>0</v>
      </c>
      <c r="AG54" s="94">
        <f t="shared" si="144"/>
        <v>0</v>
      </c>
      <c r="AH54" s="94">
        <f t="shared" si="144"/>
        <v>0</v>
      </c>
      <c r="AI54" s="94">
        <f t="shared" si="144"/>
        <v>0</v>
      </c>
      <c r="AJ54" s="94">
        <f t="shared" si="144"/>
        <v>0</v>
      </c>
      <c r="AK54" s="94">
        <f t="shared" si="144"/>
        <v>0</v>
      </c>
      <c r="AL54" s="94">
        <f t="shared" si="144"/>
        <v>0</v>
      </c>
    </row>
    <row r="55" spans="1:41" s="83" customFormat="1" x14ac:dyDescent="0.25">
      <c r="A55" s="98"/>
      <c r="B55" s="99"/>
      <c r="C55" s="100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2"/>
      <c r="AK55" s="102"/>
      <c r="AL55" s="102"/>
    </row>
    <row r="56" spans="1:41" s="83" customFormat="1" x14ac:dyDescent="0.25">
      <c r="A56" s="98"/>
      <c r="B56" s="99"/>
      <c r="C56" s="100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2"/>
      <c r="AK56" s="102"/>
      <c r="AL56" s="102"/>
    </row>
    <row r="57" spans="1:41" s="95" customFormat="1" x14ac:dyDescent="0.25">
      <c r="A57" s="92" t="s">
        <v>34</v>
      </c>
      <c r="B57" s="93" t="s">
        <v>83</v>
      </c>
      <c r="C57" s="66" t="s">
        <v>29</v>
      </c>
      <c r="D57" s="94">
        <f>D16*D62</f>
        <v>266.37962747405163</v>
      </c>
      <c r="E57" s="94">
        <f t="shared" ref="E57:F57" si="145">E16*E62</f>
        <v>0</v>
      </c>
      <c r="F57" s="94">
        <f t="shared" si="145"/>
        <v>0</v>
      </c>
      <c r="G57" s="94">
        <v>0</v>
      </c>
      <c r="H57" s="94">
        <f t="shared" ref="H57:AA57" si="146">H16*H62</f>
        <v>34470.333333333336</v>
      </c>
      <c r="I57" s="94">
        <f t="shared" si="146"/>
        <v>34470.333333333336</v>
      </c>
      <c r="J57" s="94">
        <f t="shared" si="146"/>
        <v>34470.333333333336</v>
      </c>
      <c r="K57" s="94">
        <f t="shared" si="146"/>
        <v>34272.30033333334</v>
      </c>
      <c r="L57" s="94">
        <f t="shared" si="146"/>
        <v>33929.529333333332</v>
      </c>
      <c r="M57" s="94">
        <f t="shared" si="146"/>
        <v>33568.806333333341</v>
      </c>
      <c r="N57" s="94">
        <f t="shared" si="146"/>
        <v>33568.806333333341</v>
      </c>
      <c r="O57" s="94">
        <f t="shared" si="146"/>
        <v>33568.806333333341</v>
      </c>
      <c r="P57" s="94">
        <f t="shared" si="146"/>
        <v>33568.806333333341</v>
      </c>
      <c r="Q57" s="94">
        <f t="shared" si="146"/>
        <v>33568.806333333341</v>
      </c>
      <c r="R57" s="94">
        <f t="shared" si="146"/>
        <v>33568.806333333341</v>
      </c>
      <c r="S57" s="94">
        <f t="shared" si="146"/>
        <v>33568.806333333341</v>
      </c>
      <c r="T57" s="94">
        <f t="shared" si="146"/>
        <v>33568.806333333341</v>
      </c>
      <c r="U57" s="94">
        <f t="shared" si="146"/>
        <v>33568.806333333341</v>
      </c>
      <c r="V57" s="94">
        <f t="shared" si="146"/>
        <v>33568.806333333341</v>
      </c>
      <c r="W57" s="94">
        <f t="shared" si="146"/>
        <v>33568.806333333341</v>
      </c>
      <c r="X57" s="94">
        <f t="shared" ref="X57:Z57" si="147">X16*X62</f>
        <v>33568.806333333341</v>
      </c>
      <c r="Y57" s="94">
        <f t="shared" si="147"/>
        <v>33568.806333333341</v>
      </c>
      <c r="Z57" s="94">
        <f t="shared" si="147"/>
        <v>33568.806333333341</v>
      </c>
      <c r="AA57" s="94">
        <f t="shared" si="146"/>
        <v>33568.806333333341</v>
      </c>
      <c r="AB57" s="94">
        <f t="shared" ref="AB57:AL57" si="148">AB16*AB62</f>
        <v>34167.180777777779</v>
      </c>
      <c r="AC57" s="94">
        <f t="shared" si="148"/>
        <v>34765.555222222225</v>
      </c>
      <c r="AD57" s="94">
        <f t="shared" si="148"/>
        <v>35363.929666666671</v>
      </c>
      <c r="AE57" s="94">
        <f t="shared" si="148"/>
        <v>35962.304111111116</v>
      </c>
      <c r="AF57" s="94">
        <f t="shared" si="148"/>
        <v>36560.678555555562</v>
      </c>
      <c r="AG57" s="94">
        <f t="shared" si="148"/>
        <v>37159.053000000007</v>
      </c>
      <c r="AH57" s="94">
        <f t="shared" si="148"/>
        <v>37757.427444444453</v>
      </c>
      <c r="AI57" s="94">
        <f t="shared" si="148"/>
        <v>38355.801888888891</v>
      </c>
      <c r="AJ57" s="94">
        <f t="shared" si="148"/>
        <v>38954.176333333337</v>
      </c>
      <c r="AK57" s="94">
        <f t="shared" si="148"/>
        <v>39552.550777777782</v>
      </c>
      <c r="AL57" s="94">
        <f t="shared" si="148"/>
        <v>40150.92522222222</v>
      </c>
    </row>
    <row r="58" spans="1:41" s="83" customFormat="1" ht="30" hidden="1" x14ac:dyDescent="0.25">
      <c r="A58" s="98"/>
      <c r="B58" s="99" t="s">
        <v>64</v>
      </c>
      <c r="C58" s="100" t="s">
        <v>23</v>
      </c>
      <c r="D58" s="102">
        <f t="shared" ref="D58:AA58" si="149">D21*D62</f>
        <v>-62626.109607834529</v>
      </c>
      <c r="E58" s="102">
        <f t="shared" si="149"/>
        <v>-72694.956018164492</v>
      </c>
      <c r="F58" s="102">
        <f t="shared" si="149"/>
        <v>-128223.99954410501</v>
      </c>
      <c r="G58" s="102">
        <f t="shared" si="149"/>
        <v>-126253.92889540204</v>
      </c>
      <c r="H58" s="102">
        <f t="shared" si="149"/>
        <v>-89988.563805476588</v>
      </c>
      <c r="I58" s="102">
        <f t="shared" si="149"/>
        <v>-88134.405937643358</v>
      </c>
      <c r="J58" s="102">
        <f t="shared" si="149"/>
        <v>-86332.916349483086</v>
      </c>
      <c r="K58" s="102">
        <f t="shared" si="149"/>
        <v>-81432.990552261865</v>
      </c>
      <c r="L58" s="102">
        <f t="shared" si="149"/>
        <v>-74271.943450110106</v>
      </c>
      <c r="M58" s="102">
        <f t="shared" si="149"/>
        <v>-66843.598240493637</v>
      </c>
      <c r="N58" s="102">
        <f t="shared" si="149"/>
        <v>-66025.17890490414</v>
      </c>
      <c r="O58" s="102">
        <f t="shared" si="149"/>
        <v>-65220.513931065536</v>
      </c>
      <c r="P58" s="102">
        <f t="shared" si="149"/>
        <v>-64429.356669191242</v>
      </c>
      <c r="Q58" s="102">
        <f t="shared" si="149"/>
        <v>-63651.464959659228</v>
      </c>
      <c r="R58" s="102">
        <f t="shared" si="149"/>
        <v>-63136.715222805928</v>
      </c>
      <c r="S58" s="102">
        <f t="shared" si="149"/>
        <v>-62630.382864800893</v>
      </c>
      <c r="T58" s="102">
        <f t="shared" si="149"/>
        <v>-62132.315307604185</v>
      </c>
      <c r="U58" s="102">
        <f t="shared" si="149"/>
        <v>-61642.362803548691</v>
      </c>
      <c r="V58" s="102">
        <f t="shared" si="149"/>
        <v>-61160.378382583389</v>
      </c>
      <c r="W58" s="102">
        <f t="shared" si="149"/>
        <v>-60686.21780050073</v>
      </c>
      <c r="X58" s="102">
        <f t="shared" ref="X58:Z58" si="150">X21*X62</f>
        <v>-60219.73948813005</v>
      </c>
      <c r="Y58" s="102">
        <f t="shared" si="150"/>
        <v>-59760.804501478706</v>
      </c>
      <c r="Z58" s="102">
        <f t="shared" si="150"/>
        <v>-59309.276472804071</v>
      </c>
      <c r="AA58" s="102">
        <f t="shared" si="149"/>
        <v>-58865.021562597431</v>
      </c>
      <c r="AB58" s="102">
        <f t="shared" ref="AB58:AL58" si="151">AB21*AB62</f>
        <v>-59469.404106091475</v>
      </c>
      <c r="AC58" s="102">
        <f t="shared" si="151"/>
        <v>-60419.477613145209</v>
      </c>
      <c r="AD58" s="102">
        <f t="shared" si="151"/>
        <v>-61368.931425995601</v>
      </c>
      <c r="AE58" s="102">
        <f t="shared" si="151"/>
        <v>-62317.876258357181</v>
      </c>
      <c r="AF58" s="102">
        <f t="shared" si="151"/>
        <v>-63266.421873955638</v>
      </c>
      <c r="AG58" s="102">
        <f t="shared" si="151"/>
        <v>-64214.677102504909</v>
      </c>
      <c r="AH58" s="102">
        <f t="shared" si="151"/>
        <v>-65162.749855510563</v>
      </c>
      <c r="AI58" s="102">
        <f t="shared" si="151"/>
        <v>-66110.747141900865</v>
      </c>
      <c r="AJ58" s="102">
        <f t="shared" si="151"/>
        <v>-67058.775083488508</v>
      </c>
      <c r="AK58" s="102">
        <f t="shared" si="151"/>
        <v>-68006.938930264136</v>
      </c>
      <c r="AL58" s="102">
        <f t="shared" si="151"/>
        <v>-68955.343075525045</v>
      </c>
    </row>
    <row r="59" spans="1:41" s="83" customFormat="1" hidden="1" x14ac:dyDescent="0.25">
      <c r="A59" s="98"/>
      <c r="B59" s="99" t="s">
        <v>65</v>
      </c>
      <c r="C59" s="100" t="s">
        <v>23</v>
      </c>
      <c r="D59" s="102">
        <f t="shared" ref="D59:AA59" si="152">D54*D63</f>
        <v>0</v>
      </c>
      <c r="E59" s="102" t="e">
        <f>#REF!*E63</f>
        <v>#REF!</v>
      </c>
      <c r="F59" s="102">
        <f t="shared" si="152"/>
        <v>0</v>
      </c>
      <c r="G59" s="102">
        <f t="shared" si="152"/>
        <v>0</v>
      </c>
      <c r="H59" s="102">
        <f t="shared" si="152"/>
        <v>0</v>
      </c>
      <c r="I59" s="102">
        <f t="shared" si="152"/>
        <v>0</v>
      </c>
      <c r="J59" s="102">
        <f t="shared" si="152"/>
        <v>0</v>
      </c>
      <c r="K59" s="102">
        <f t="shared" si="152"/>
        <v>0</v>
      </c>
      <c r="L59" s="102">
        <f t="shared" si="152"/>
        <v>0</v>
      </c>
      <c r="M59" s="102">
        <f t="shared" si="152"/>
        <v>0</v>
      </c>
      <c r="N59" s="102">
        <f t="shared" si="152"/>
        <v>0</v>
      </c>
      <c r="O59" s="102">
        <f t="shared" si="152"/>
        <v>0</v>
      </c>
      <c r="P59" s="102">
        <f t="shared" si="152"/>
        <v>0</v>
      </c>
      <c r="Q59" s="102">
        <f t="shared" si="152"/>
        <v>0</v>
      </c>
      <c r="R59" s="102">
        <f t="shared" si="152"/>
        <v>0</v>
      </c>
      <c r="S59" s="102">
        <f t="shared" si="152"/>
        <v>0</v>
      </c>
      <c r="T59" s="102">
        <f t="shared" si="152"/>
        <v>0</v>
      </c>
      <c r="U59" s="102">
        <f t="shared" si="152"/>
        <v>0</v>
      </c>
      <c r="V59" s="102">
        <f t="shared" si="152"/>
        <v>0</v>
      </c>
      <c r="W59" s="102">
        <f t="shared" si="152"/>
        <v>0</v>
      </c>
      <c r="X59" s="102">
        <f t="shared" ref="X59:Z59" si="153">X54*X63</f>
        <v>0</v>
      </c>
      <c r="Y59" s="102">
        <f t="shared" si="153"/>
        <v>0</v>
      </c>
      <c r="Z59" s="102">
        <f t="shared" si="153"/>
        <v>0</v>
      </c>
      <c r="AA59" s="102">
        <f t="shared" si="152"/>
        <v>0</v>
      </c>
      <c r="AB59" s="102">
        <f t="shared" ref="AB59:AL59" si="154">AB54*AB63</f>
        <v>0</v>
      </c>
      <c r="AC59" s="102">
        <f t="shared" si="154"/>
        <v>0</v>
      </c>
      <c r="AD59" s="102">
        <f t="shared" si="154"/>
        <v>0</v>
      </c>
      <c r="AE59" s="102">
        <f t="shared" si="154"/>
        <v>0</v>
      </c>
      <c r="AF59" s="102">
        <f t="shared" si="154"/>
        <v>0</v>
      </c>
      <c r="AG59" s="102">
        <f t="shared" si="154"/>
        <v>0</v>
      </c>
      <c r="AH59" s="102">
        <f t="shared" si="154"/>
        <v>0</v>
      </c>
      <c r="AI59" s="102">
        <f t="shared" si="154"/>
        <v>0</v>
      </c>
      <c r="AJ59" s="102">
        <f t="shared" si="154"/>
        <v>0</v>
      </c>
      <c r="AK59" s="102">
        <f t="shared" si="154"/>
        <v>0</v>
      </c>
      <c r="AL59" s="102">
        <f t="shared" si="154"/>
        <v>0</v>
      </c>
    </row>
    <row r="60" spans="1:41" s="83" customFormat="1" hidden="1" x14ac:dyDescent="0.25">
      <c r="A60" s="98"/>
      <c r="B60" s="99" t="s">
        <v>46</v>
      </c>
      <c r="C60" s="100" t="s">
        <v>23</v>
      </c>
      <c r="D60" s="102">
        <f t="shared" ref="D60:AA60" si="155">D57+D58+D59</f>
        <v>-62359.729980360476</v>
      </c>
      <c r="E60" s="102" t="e">
        <f t="shared" si="155"/>
        <v>#REF!</v>
      </c>
      <c r="F60" s="102">
        <f t="shared" si="155"/>
        <v>-128223.99954410501</v>
      </c>
      <c r="G60" s="102">
        <f t="shared" si="155"/>
        <v>-126253.92889540204</v>
      </c>
      <c r="H60" s="102">
        <f t="shared" si="155"/>
        <v>-55518.230472143252</v>
      </c>
      <c r="I60" s="102">
        <f t="shared" si="155"/>
        <v>-53664.072604310022</v>
      </c>
      <c r="J60" s="102">
        <f t="shared" si="155"/>
        <v>-51862.583016149751</v>
      </c>
      <c r="K60" s="102">
        <f t="shared" si="155"/>
        <v>-47160.690218928525</v>
      </c>
      <c r="L60" s="102">
        <f t="shared" si="155"/>
        <v>-40342.414116776774</v>
      </c>
      <c r="M60" s="102">
        <f t="shared" si="155"/>
        <v>-33274.791907160296</v>
      </c>
      <c r="N60" s="102">
        <f t="shared" si="155"/>
        <v>-32456.372571570799</v>
      </c>
      <c r="O60" s="102">
        <f t="shared" si="155"/>
        <v>-31651.707597732195</v>
      </c>
      <c r="P60" s="102">
        <f t="shared" si="155"/>
        <v>-30860.550335857901</v>
      </c>
      <c r="Q60" s="102">
        <f t="shared" si="155"/>
        <v>-30082.658626325887</v>
      </c>
      <c r="R60" s="102">
        <f t="shared" si="155"/>
        <v>-29567.908889472586</v>
      </c>
      <c r="S60" s="102">
        <f t="shared" si="155"/>
        <v>-29061.576531467552</v>
      </c>
      <c r="T60" s="102">
        <f t="shared" si="155"/>
        <v>-28563.508974270844</v>
      </c>
      <c r="U60" s="102">
        <f t="shared" si="155"/>
        <v>-28073.55647021535</v>
      </c>
      <c r="V60" s="102">
        <f t="shared" si="155"/>
        <v>-27591.572049250048</v>
      </c>
      <c r="W60" s="102">
        <f t="shared" si="155"/>
        <v>-27117.411467167389</v>
      </c>
      <c r="X60" s="102">
        <f t="shared" ref="X60:Z60" si="156">X57+X58+X59</f>
        <v>-26650.933154796709</v>
      </c>
      <c r="Y60" s="102">
        <f t="shared" si="156"/>
        <v>-26191.998168145365</v>
      </c>
      <c r="Z60" s="102">
        <f t="shared" si="156"/>
        <v>-25740.47013947073</v>
      </c>
      <c r="AA60" s="102">
        <f t="shared" si="155"/>
        <v>-25296.215229264089</v>
      </c>
      <c r="AB60" s="102">
        <f t="shared" ref="AB60:AL60" si="157">AB57+AB58+AB59</f>
        <v>-25302.223328313696</v>
      </c>
      <c r="AC60" s="102">
        <f t="shared" si="157"/>
        <v>-25653.922390922984</v>
      </c>
      <c r="AD60" s="102">
        <f t="shared" si="157"/>
        <v>-26005.00175932893</v>
      </c>
      <c r="AE60" s="102">
        <f t="shared" si="157"/>
        <v>-26355.572147246065</v>
      </c>
      <c r="AF60" s="102">
        <f t="shared" si="157"/>
        <v>-26705.743318400077</v>
      </c>
      <c r="AG60" s="102">
        <f t="shared" si="157"/>
        <v>-27055.624102504902</v>
      </c>
      <c r="AH60" s="102">
        <f t="shared" si="157"/>
        <v>-27405.32241106611</v>
      </c>
      <c r="AI60" s="102">
        <f t="shared" si="157"/>
        <v>-27754.945253011974</v>
      </c>
      <c r="AJ60" s="102">
        <f t="shared" si="157"/>
        <v>-28104.598750155172</v>
      </c>
      <c r="AK60" s="102">
        <f t="shared" si="157"/>
        <v>-28454.388152486354</v>
      </c>
      <c r="AL60" s="102">
        <f t="shared" si="157"/>
        <v>-28804.417853302824</v>
      </c>
    </row>
    <row r="61" spans="1:41" s="83" customFormat="1" hidden="1" x14ac:dyDescent="0.25">
      <c r="A61" s="98"/>
      <c r="B61" s="99"/>
      <c r="C61" s="100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</row>
    <row r="62" spans="1:41" s="95" customFormat="1" x14ac:dyDescent="0.25">
      <c r="A62" s="92" t="s">
        <v>35</v>
      </c>
      <c r="B62" s="93" t="s">
        <v>47</v>
      </c>
      <c r="C62" s="66" t="s">
        <v>28</v>
      </c>
      <c r="D62" s="94">
        <v>56.1</v>
      </c>
      <c r="E62" s="94">
        <v>56.1</v>
      </c>
      <c r="F62" s="94">
        <v>56.1</v>
      </c>
      <c r="G62" s="94">
        <v>56.1</v>
      </c>
      <c r="H62" s="94">
        <v>56.1</v>
      </c>
      <c r="I62" s="94">
        <v>56.1</v>
      </c>
      <c r="J62" s="94">
        <v>56.1</v>
      </c>
      <c r="K62" s="94">
        <v>56.1</v>
      </c>
      <c r="L62" s="94">
        <v>56.1</v>
      </c>
      <c r="M62" s="94">
        <v>56.1</v>
      </c>
      <c r="N62" s="94">
        <v>56.1</v>
      </c>
      <c r="O62" s="94">
        <v>56.1</v>
      </c>
      <c r="P62" s="94">
        <v>56.1</v>
      </c>
      <c r="Q62" s="94">
        <v>56.1</v>
      </c>
      <c r="R62" s="94">
        <v>56.1</v>
      </c>
      <c r="S62" s="94">
        <v>56.1</v>
      </c>
      <c r="T62" s="94">
        <v>56.1</v>
      </c>
      <c r="U62" s="94">
        <v>56.1</v>
      </c>
      <c r="V62" s="94">
        <v>56.1</v>
      </c>
      <c r="W62" s="94">
        <v>56.1</v>
      </c>
      <c r="X62" s="94">
        <v>56.1</v>
      </c>
      <c r="Y62" s="94">
        <v>56.1</v>
      </c>
      <c r="Z62" s="94">
        <v>56.1</v>
      </c>
      <c r="AA62" s="94">
        <v>56.1</v>
      </c>
      <c r="AB62" s="94">
        <v>57.1</v>
      </c>
      <c r="AC62" s="94">
        <v>58.1</v>
      </c>
      <c r="AD62" s="94">
        <v>59.1</v>
      </c>
      <c r="AE62" s="94">
        <v>60.1</v>
      </c>
      <c r="AF62" s="94">
        <v>61.1</v>
      </c>
      <c r="AG62" s="94">
        <v>62.1</v>
      </c>
      <c r="AH62" s="94">
        <v>63.1</v>
      </c>
      <c r="AI62" s="94">
        <v>64.099999999999994</v>
      </c>
      <c r="AJ62" s="94">
        <v>65.099999999999994</v>
      </c>
      <c r="AK62" s="94">
        <v>66.099999999999994</v>
      </c>
      <c r="AL62" s="94">
        <v>67.099999999999994</v>
      </c>
    </row>
    <row r="63" spans="1:41" s="83" customFormat="1" hidden="1" x14ac:dyDescent="0.25">
      <c r="A63" s="98" t="s">
        <v>36</v>
      </c>
      <c r="B63" s="99" t="s">
        <v>48</v>
      </c>
      <c r="C63" s="100" t="s">
        <v>28</v>
      </c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</row>
    <row r="64" spans="1:41" s="83" customFormat="1" hidden="1" x14ac:dyDescent="0.25">
      <c r="A64" s="98"/>
      <c r="B64" s="99"/>
      <c r="C64" s="100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</row>
    <row r="65" spans="1:29" s="83" customFormat="1" hidden="1" x14ac:dyDescent="0.25">
      <c r="A65" s="98"/>
      <c r="B65" s="116" t="s">
        <v>66</v>
      </c>
      <c r="C65" s="100" t="s">
        <v>43</v>
      </c>
      <c r="D65" s="102">
        <v>57.703000000000003</v>
      </c>
      <c r="E65" s="102">
        <v>45.704000000000001</v>
      </c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</row>
    <row r="66" spans="1:29" s="83" customFormat="1" x14ac:dyDescent="0.25">
      <c r="C66" s="84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</row>
    <row r="67" spans="1:29" s="83" customFormat="1" x14ac:dyDescent="0.25">
      <c r="B67" s="118"/>
      <c r="C67" s="84"/>
      <c r="D67" s="117"/>
      <c r="E67" s="117"/>
      <c r="F67" s="117"/>
      <c r="G67" s="117"/>
      <c r="H67" s="117"/>
      <c r="I67" s="117"/>
      <c r="J67" s="117"/>
      <c r="K67" s="117"/>
      <c r="L67" s="117"/>
      <c r="M67" s="117">
        <f>J57-M57</f>
        <v>901.52699999999459</v>
      </c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</row>
    <row r="68" spans="1:29" s="83" customFormat="1" x14ac:dyDescent="0.25">
      <c r="B68" s="118"/>
      <c r="C68" s="84"/>
      <c r="D68" s="119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  <c r="AA68" s="120"/>
      <c r="AB68" s="121"/>
      <c r="AC68" s="121"/>
    </row>
    <row r="69" spans="1:29" s="83" customFormat="1" x14ac:dyDescent="0.25">
      <c r="B69" s="118" t="s">
        <v>85</v>
      </c>
      <c r="C69" s="100">
        <f>F41/D69</f>
        <v>488.36562984660407</v>
      </c>
      <c r="D69" s="102">
        <f>E69/1000+F31</f>
        <v>416.0685715410055</v>
      </c>
      <c r="E69" s="102">
        <f>(F32*1000/4.1848)*1.162</f>
        <v>193818.57154100548</v>
      </c>
      <c r="F69" s="120"/>
      <c r="G69" s="120">
        <f>F40/F41</f>
        <v>1.5126850577451256E-2</v>
      </c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</row>
    <row r="70" spans="1:29" s="83" customFormat="1" x14ac:dyDescent="0.25">
      <c r="B70" s="83" t="s">
        <v>80</v>
      </c>
      <c r="C70" s="83">
        <f>D40/D41</f>
        <v>1.5126850577451256E-2</v>
      </c>
      <c r="D70" s="84"/>
      <c r="E70" s="84"/>
      <c r="F70" s="84"/>
      <c r="G70" s="122">
        <v>1.5905375323811158E-2</v>
      </c>
      <c r="H70" s="122">
        <f>G40/I70</f>
        <v>1.5905375323811158E-2</v>
      </c>
      <c r="I70" s="102">
        <v>218250.27500000002</v>
      </c>
      <c r="J70" s="84" t="s">
        <v>87</v>
      </c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</row>
    <row r="71" spans="1:29" s="83" customFormat="1" x14ac:dyDescent="0.25">
      <c r="B71" s="115"/>
      <c r="C71" s="87">
        <f>6980850/153916</f>
        <v>45.35493386002755</v>
      </c>
      <c r="D71" s="123"/>
      <c r="E71" s="123"/>
      <c r="F71" s="123"/>
      <c r="G71" s="123"/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3"/>
      <c r="T71" s="123"/>
      <c r="U71" s="123"/>
      <c r="V71" s="123"/>
      <c r="W71" s="123"/>
      <c r="X71" s="123"/>
      <c r="Y71" s="123"/>
      <c r="Z71" s="123"/>
      <c r="AA71" s="123"/>
      <c r="AB71" s="124"/>
      <c r="AC71" s="124"/>
    </row>
    <row r="72" spans="1:29" s="83" customFormat="1" x14ac:dyDescent="0.25">
      <c r="B72" s="115"/>
      <c r="C72" s="87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5"/>
      <c r="T72" s="126"/>
      <c r="U72" s="84"/>
      <c r="V72" s="84"/>
      <c r="W72" s="84"/>
      <c r="X72" s="84"/>
      <c r="Y72" s="84"/>
      <c r="Z72" s="84"/>
      <c r="AA72" s="84"/>
    </row>
    <row r="73" spans="1:29" s="83" customFormat="1" x14ac:dyDescent="0.25">
      <c r="C73" s="84"/>
      <c r="D73" s="126"/>
      <c r="E73" s="126"/>
      <c r="F73" s="126"/>
      <c r="G73" s="127">
        <f>G31/G32</f>
        <v>0.34845959233289386</v>
      </c>
      <c r="H73" s="126"/>
      <c r="I73" s="126"/>
      <c r="J73" s="126"/>
      <c r="K73" s="126"/>
      <c r="L73" s="126"/>
      <c r="M73" s="126"/>
      <c r="N73" s="126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26"/>
      <c r="AB73" s="121"/>
    </row>
    <row r="74" spans="1:29" s="83" customFormat="1" x14ac:dyDescent="0.25">
      <c r="C74" s="84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26"/>
    </row>
    <row r="75" spans="1:29" s="83" customFormat="1" x14ac:dyDescent="0.25"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</row>
    <row r="76" spans="1:29" s="83" customFormat="1" x14ac:dyDescent="0.25"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</row>
    <row r="77" spans="1:29" s="83" customFormat="1" x14ac:dyDescent="0.25"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</row>
    <row r="78" spans="1:29" s="83" customFormat="1" x14ac:dyDescent="0.25"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</row>
    <row r="79" spans="1:29" s="83" customFormat="1" x14ac:dyDescent="0.25">
      <c r="C79" s="84"/>
      <c r="D79" s="126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  <c r="AA79" s="126"/>
    </row>
    <row r="80" spans="1:29" s="83" customFormat="1" x14ac:dyDescent="0.25"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</row>
    <row r="81" spans="2:27" s="83" customFormat="1" x14ac:dyDescent="0.25">
      <c r="C81" s="84"/>
      <c r="D81" s="125"/>
      <c r="E81" s="125"/>
      <c r="F81" s="125"/>
      <c r="G81" s="125"/>
      <c r="H81" s="125"/>
      <c r="I81" s="125"/>
      <c r="J81" s="125"/>
      <c r="K81" s="125"/>
      <c r="L81" s="125"/>
      <c r="M81" s="125"/>
      <c r="N81" s="125"/>
      <c r="O81" s="125"/>
      <c r="P81" s="125"/>
      <c r="Q81" s="125"/>
      <c r="R81" s="125"/>
      <c r="S81" s="125"/>
      <c r="T81" s="84"/>
      <c r="U81" s="84"/>
      <c r="V81" s="84"/>
      <c r="W81" s="84"/>
      <c r="X81" s="84"/>
      <c r="Y81" s="84"/>
      <c r="Z81" s="84"/>
      <c r="AA81" s="84"/>
    </row>
    <row r="82" spans="2:27" s="83" customFormat="1" x14ac:dyDescent="0.25"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</row>
    <row r="83" spans="2:27" s="83" customFormat="1" x14ac:dyDescent="0.25">
      <c r="B83" s="115"/>
      <c r="C83" s="87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</row>
    <row r="84" spans="2:27" s="83" customFormat="1" x14ac:dyDescent="0.25">
      <c r="B84" s="115"/>
      <c r="C84" s="87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123"/>
      <c r="X84" s="123"/>
      <c r="Y84" s="123"/>
      <c r="Z84" s="123"/>
      <c r="AA84" s="123"/>
    </row>
    <row r="85" spans="2:27" s="83" customFormat="1" x14ac:dyDescent="0.25"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</row>
    <row r="86" spans="2:27" s="83" customFormat="1" x14ac:dyDescent="0.25"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</row>
    <row r="87" spans="2:27" s="83" customFormat="1" x14ac:dyDescent="0.25">
      <c r="C87" s="84"/>
      <c r="D87" s="84"/>
      <c r="E87" s="128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</row>
    <row r="88" spans="2:27" s="83" customFormat="1" x14ac:dyDescent="0.25">
      <c r="C88" s="84"/>
      <c r="D88" s="84"/>
      <c r="E88" s="128"/>
      <c r="F88" s="84"/>
      <c r="G88" s="84"/>
      <c r="H88" s="129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</row>
    <row r="89" spans="2:27" s="83" customFormat="1" x14ac:dyDescent="0.25">
      <c r="B89" s="130"/>
      <c r="C89" s="131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</row>
    <row r="90" spans="2:27" s="83" customFormat="1" x14ac:dyDescent="0.25"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</row>
    <row r="91" spans="2:27" s="83" customFormat="1" x14ac:dyDescent="0.25">
      <c r="B91" s="130"/>
      <c r="C91" s="132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</row>
    <row r="92" spans="2:27" s="83" customFormat="1" x14ac:dyDescent="0.25">
      <c r="B92" s="106"/>
      <c r="C92" s="128"/>
      <c r="D92" s="126"/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26"/>
      <c r="T92" s="126"/>
      <c r="U92" s="126"/>
      <c r="V92" s="126"/>
      <c r="W92" s="126"/>
      <c r="X92" s="126"/>
      <c r="Y92" s="126"/>
      <c r="Z92" s="126"/>
      <c r="AA92" s="126"/>
    </row>
    <row r="93" spans="2:27" s="83" customFormat="1" x14ac:dyDescent="0.25">
      <c r="B93" s="106"/>
      <c r="C93" s="128"/>
      <c r="D93" s="128"/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8"/>
      <c r="Z93" s="128"/>
      <c r="AA93" s="128"/>
    </row>
    <row r="94" spans="2:27" s="83" customFormat="1" x14ac:dyDescent="0.25">
      <c r="C94" s="84"/>
      <c r="D94" s="128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  <c r="U94" s="128"/>
      <c r="V94" s="128"/>
      <c r="W94" s="128"/>
      <c r="X94" s="128"/>
      <c r="Y94" s="128"/>
      <c r="Z94" s="128"/>
      <c r="AA94" s="128"/>
    </row>
    <row r="95" spans="2:27" s="83" customFormat="1" x14ac:dyDescent="0.25">
      <c r="C95" s="84"/>
      <c r="D95" s="126"/>
      <c r="E95" s="126"/>
      <c r="F95" s="126"/>
      <c r="G95" s="126"/>
      <c r="H95" s="126"/>
      <c r="I95" s="126"/>
      <c r="J95" s="126"/>
      <c r="K95" s="126"/>
      <c r="L95" s="126"/>
      <c r="M95" s="126"/>
      <c r="N95" s="126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  <c r="Z95" s="126"/>
      <c r="AA95" s="126"/>
    </row>
    <row r="96" spans="2:27" s="83" customFormat="1" x14ac:dyDescent="0.25">
      <c r="C96" s="84"/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  <c r="Q96" s="133"/>
      <c r="R96" s="133"/>
      <c r="S96" s="133"/>
      <c r="T96" s="133"/>
      <c r="U96" s="133"/>
      <c r="V96" s="133"/>
      <c r="W96" s="133"/>
      <c r="X96" s="133"/>
      <c r="Y96" s="133"/>
      <c r="Z96" s="133"/>
      <c r="AA96" s="133"/>
    </row>
    <row r="97" spans="3:27" s="83" customFormat="1" x14ac:dyDescent="0.25">
      <c r="C97" s="84"/>
      <c r="D97" s="128"/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  <c r="R97" s="128"/>
      <c r="S97" s="128"/>
      <c r="T97" s="128"/>
      <c r="U97" s="128"/>
      <c r="V97" s="128"/>
      <c r="W97" s="128"/>
      <c r="X97" s="128"/>
      <c r="Y97" s="128"/>
      <c r="Z97" s="128"/>
      <c r="AA97" s="128"/>
    </row>
    <row r="98" spans="3:27" s="83" customFormat="1" x14ac:dyDescent="0.25">
      <c r="C98" s="84"/>
      <c r="D98" s="128"/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128"/>
      <c r="U98" s="128"/>
      <c r="V98" s="128"/>
      <c r="W98" s="128"/>
      <c r="X98" s="128"/>
      <c r="Y98" s="128"/>
      <c r="Z98" s="128"/>
      <c r="AA98" s="128"/>
    </row>
    <row r="99" spans="3:27" s="83" customFormat="1" x14ac:dyDescent="0.25">
      <c r="C99" s="84"/>
      <c r="D99" s="128"/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128"/>
      <c r="T99" s="128"/>
      <c r="U99" s="128"/>
      <c r="V99" s="128"/>
      <c r="W99" s="128"/>
      <c r="X99" s="128"/>
      <c r="Y99" s="128"/>
      <c r="Z99" s="128"/>
      <c r="AA99" s="128"/>
    </row>
    <row r="100" spans="3:27" s="83" customFormat="1" x14ac:dyDescent="0.25">
      <c r="C100" s="84"/>
      <c r="D100" s="128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  <c r="S100" s="128"/>
      <c r="T100" s="128"/>
      <c r="U100" s="128"/>
      <c r="V100" s="128"/>
      <c r="W100" s="128"/>
      <c r="X100" s="128"/>
      <c r="Y100" s="128"/>
      <c r="Z100" s="128"/>
      <c r="AA100" s="128"/>
    </row>
    <row r="101" spans="3:27" s="83" customFormat="1" x14ac:dyDescent="0.25"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</row>
    <row r="102" spans="3:27" s="83" customFormat="1" x14ac:dyDescent="0.25"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</row>
    <row r="103" spans="3:27" s="83" customFormat="1" x14ac:dyDescent="0.25">
      <c r="C103" s="84"/>
      <c r="D103" s="133"/>
      <c r="E103" s="133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33"/>
      <c r="Q103" s="133"/>
      <c r="R103" s="133"/>
      <c r="S103" s="133"/>
      <c r="T103" s="133"/>
      <c r="U103" s="133"/>
      <c r="V103" s="133"/>
      <c r="W103" s="133"/>
      <c r="X103" s="133"/>
      <c r="Y103" s="133"/>
      <c r="Z103" s="133"/>
      <c r="AA103" s="133"/>
    </row>
    <row r="104" spans="3:27" s="83" customFormat="1" x14ac:dyDescent="0.25"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</row>
    <row r="105" spans="3:27" s="83" customFormat="1" x14ac:dyDescent="0.25">
      <c r="C105" s="84"/>
      <c r="D105" s="128"/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  <c r="S105" s="128"/>
      <c r="T105" s="128"/>
      <c r="U105" s="128"/>
      <c r="V105" s="128"/>
      <c r="W105" s="128"/>
      <c r="X105" s="128"/>
      <c r="Y105" s="128"/>
      <c r="Z105" s="128"/>
      <c r="AA105" s="128"/>
    </row>
    <row r="106" spans="3:27" s="83" customFormat="1" x14ac:dyDescent="0.25"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</row>
    <row r="107" spans="3:27" s="83" customFormat="1" x14ac:dyDescent="0.25"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</row>
    <row r="108" spans="3:27" s="83" customFormat="1" x14ac:dyDescent="0.25">
      <c r="C108" s="84"/>
      <c r="D108" s="128"/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</row>
    <row r="109" spans="3:27" s="83" customFormat="1" x14ac:dyDescent="0.25">
      <c r="C109" s="84"/>
      <c r="D109" s="128"/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  <c r="R109" s="128"/>
      <c r="S109" s="128"/>
      <c r="T109" s="128"/>
      <c r="U109" s="128"/>
      <c r="V109" s="128"/>
      <c r="W109" s="128"/>
      <c r="X109" s="128"/>
      <c r="Y109" s="128"/>
      <c r="Z109" s="128"/>
      <c r="AA109" s="128"/>
    </row>
    <row r="110" spans="3:27" s="83" customFormat="1" x14ac:dyDescent="0.25"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</row>
    <row r="111" spans="3:27" s="83" customFormat="1" x14ac:dyDescent="0.25"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</row>
    <row r="112" spans="3:27" s="83" customFormat="1" x14ac:dyDescent="0.25"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</row>
    <row r="113" spans="3:27" s="83" customFormat="1" x14ac:dyDescent="0.25"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</row>
    <row r="114" spans="3:27" s="83" customFormat="1" x14ac:dyDescent="0.25">
      <c r="C114" s="84"/>
      <c r="D114" s="84"/>
      <c r="E114" s="133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</row>
    <row r="115" spans="3:27" s="83" customFormat="1" x14ac:dyDescent="0.25">
      <c r="C115" s="84"/>
      <c r="D115" s="84"/>
      <c r="E115" s="133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</row>
    <row r="116" spans="3:27" s="83" customFormat="1" x14ac:dyDescent="0.25"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</row>
    <row r="118" spans="3:27" x14ac:dyDescent="0.25">
      <c r="D118" s="16"/>
      <c r="G118" s="14"/>
    </row>
    <row r="119" spans="3:27" x14ac:dyDescent="0.25">
      <c r="C119" s="15"/>
      <c r="D119" s="16"/>
      <c r="G119" s="16"/>
    </row>
    <row r="120" spans="3:27" x14ac:dyDescent="0.25">
      <c r="D120" s="14"/>
    </row>
  </sheetData>
  <phoneticPr fontId="4" type="noConversion"/>
  <pageMargins left="0.45" right="0.45" top="0.5" bottom="0.5" header="0.3" footer="0.3"/>
  <pageSetup paperSize="8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Anexa 3</vt:lpstr>
      <vt:lpstr>Anexa 4</vt:lpstr>
      <vt:lpstr>Foaie3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Alina Armasu</cp:lastModifiedBy>
  <cp:lastPrinted>2023-02-14T07:18:31Z</cp:lastPrinted>
  <dcterms:created xsi:type="dcterms:W3CDTF">2015-02-15T17:32:54Z</dcterms:created>
  <dcterms:modified xsi:type="dcterms:W3CDTF">2024-01-25T20:07:09Z</dcterms:modified>
</cp:coreProperties>
</file>